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filterPrivacy="1" defaultThemeVersion="166925"/>
  <xr:revisionPtr revIDLastSave="0" documentId="13_ncr:1_{707048AC-D8AF-4359-B5D3-62C336C4252E}" xr6:coauthVersionLast="47" xr6:coauthVersionMax="47" xr10:uidLastSave="{00000000-0000-0000-0000-000000000000}"/>
  <bookViews>
    <workbookView xWindow="14385" yWindow="-15" windowWidth="14430" windowHeight="17310" activeTab="1" xr2:uid="{E014CD89-3839-4AC0-ABA7-7C365E1DB055}"/>
  </bookViews>
  <sheets>
    <sheet name="Ported" sheetId="42" r:id="rId1"/>
    <sheet name="T-S to E-M Conversion" sheetId="44" r:id="rId2"/>
    <sheet name="Calculations" sheetId="43" state="hidden" r:id="rId3"/>
  </sheets>
  <definedNames>
    <definedName name="solver_adj" localSheetId="0" hidden="1">Ported!$C$29,Ported!$C$23,Calculations!$C$3,Calculations!$C$4,Ported!$C$25,Ported!$C$26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Ported!$C$23</definedName>
    <definedName name="solver_lhs2" localSheetId="0" hidden="1">Calculations!$C$3</definedName>
    <definedName name="solver_lhs3" localSheetId="0" hidden="1">Calculations!$C$4</definedName>
    <definedName name="solver_lhs4" localSheetId="0" hidden="1">Ported!$C$25</definedName>
    <definedName name="solver_lhs5" localSheetId="0" hidden="1">Ported!$C$26</definedName>
    <definedName name="solver_lhs6" localSheetId="0" hidden="1">Ported!$C$29</definedName>
    <definedName name="solver_lhs7" localSheetId="0" hidden="1">Ported!$C$29</definedName>
    <definedName name="solver_lhs8" localSheetId="0" hidden="1">Ported!$C$29</definedName>
    <definedName name="solver_lhs9" localSheetId="0" hidden="1">Ported!#REF!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7</definedName>
    <definedName name="solver_nwt" localSheetId="0" hidden="1">1</definedName>
    <definedName name="solver_opt" localSheetId="0" hidden="1">Ported!#REF!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3</definedName>
    <definedName name="solver_rel3" localSheetId="0" hidden="1">3</definedName>
    <definedName name="solver_rel4" localSheetId="0" hidden="1">3</definedName>
    <definedName name="solver_rel5" localSheetId="0" hidden="1">3</definedName>
    <definedName name="solver_rel6" localSheetId="0" hidden="1">1</definedName>
    <definedName name="solver_rel7" localSheetId="0" hidden="1">3</definedName>
    <definedName name="solver_rel8" localSheetId="0" hidden="1">3</definedName>
    <definedName name="solver_rel9" localSheetId="0" hidden="1">2</definedName>
    <definedName name="solver_rhs1" localSheetId="0" hidden="1">0.002</definedName>
    <definedName name="solver_rhs2" localSheetId="0" hidden="1">1000</definedName>
    <definedName name="solver_rhs3" localSheetId="0" hidden="1">0.1</definedName>
    <definedName name="solver_rhs4" localSheetId="0" hidden="1">30</definedName>
    <definedName name="solver_rhs5" localSheetId="0" hidden="1">0.1</definedName>
    <definedName name="solver_rhs6" localSheetId="0" hidden="1">100</definedName>
    <definedName name="solver_rhs7" localSheetId="0" hidden="1">0.1</definedName>
    <definedName name="solver_rhs8" localSheetId="0" hidden="1">1</definedName>
    <definedName name="solver_rhs9" localSheetId="0" hidden="1">Ported!#REF!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44" l="1"/>
  <c r="C40" i="42"/>
  <c r="C39" i="42"/>
  <c r="C41" i="42"/>
  <c r="D211" i="43"/>
  <c r="C211" i="43"/>
  <c r="D210" i="43"/>
  <c r="C210" i="43"/>
  <c r="D209" i="43"/>
  <c r="C209" i="43"/>
  <c r="D208" i="43"/>
  <c r="C208" i="43"/>
  <c r="D207" i="43"/>
  <c r="C207" i="43"/>
  <c r="D206" i="43"/>
  <c r="C206" i="43"/>
  <c r="D205" i="43"/>
  <c r="C205" i="43"/>
  <c r="D204" i="43"/>
  <c r="C204" i="43"/>
  <c r="D203" i="43"/>
  <c r="C203" i="43"/>
  <c r="D202" i="43"/>
  <c r="C202" i="43"/>
  <c r="D201" i="43"/>
  <c r="C201" i="43"/>
  <c r="D200" i="43"/>
  <c r="C200" i="43"/>
  <c r="D199" i="43"/>
  <c r="C199" i="43"/>
  <c r="D198" i="43"/>
  <c r="C198" i="43"/>
  <c r="D197" i="43"/>
  <c r="C197" i="43"/>
  <c r="D196" i="43"/>
  <c r="C196" i="43"/>
  <c r="D195" i="43"/>
  <c r="C195" i="43"/>
  <c r="D194" i="43"/>
  <c r="C194" i="43"/>
  <c r="D193" i="43"/>
  <c r="C193" i="43"/>
  <c r="D192" i="43"/>
  <c r="C192" i="43"/>
  <c r="D191" i="43"/>
  <c r="C191" i="43"/>
  <c r="D190" i="43"/>
  <c r="C190" i="43"/>
  <c r="D189" i="43"/>
  <c r="C189" i="43"/>
  <c r="D188" i="43"/>
  <c r="C188" i="43"/>
  <c r="D187" i="43"/>
  <c r="C187" i="43"/>
  <c r="D186" i="43"/>
  <c r="C186" i="43"/>
  <c r="D185" i="43"/>
  <c r="C185" i="43"/>
  <c r="D184" i="43"/>
  <c r="C184" i="43"/>
  <c r="D183" i="43"/>
  <c r="C183" i="43"/>
  <c r="D182" i="43"/>
  <c r="C182" i="43"/>
  <c r="D181" i="43"/>
  <c r="C181" i="43"/>
  <c r="D180" i="43"/>
  <c r="C180" i="43"/>
  <c r="D179" i="43"/>
  <c r="C179" i="43"/>
  <c r="D178" i="43"/>
  <c r="C178" i="43"/>
  <c r="D177" i="43"/>
  <c r="C177" i="43"/>
  <c r="D176" i="43"/>
  <c r="C176" i="43"/>
  <c r="D175" i="43"/>
  <c r="C175" i="43"/>
  <c r="D174" i="43"/>
  <c r="C174" i="43"/>
  <c r="D173" i="43"/>
  <c r="C173" i="43"/>
  <c r="D172" i="43"/>
  <c r="C172" i="43"/>
  <c r="D171" i="43"/>
  <c r="C171" i="43"/>
  <c r="D170" i="43"/>
  <c r="C170" i="43"/>
  <c r="D169" i="43"/>
  <c r="C169" i="43"/>
  <c r="D168" i="43"/>
  <c r="C168" i="43"/>
  <c r="D167" i="43"/>
  <c r="C167" i="43"/>
  <c r="D166" i="43"/>
  <c r="C166" i="43"/>
  <c r="D165" i="43"/>
  <c r="C165" i="43"/>
  <c r="D164" i="43"/>
  <c r="C164" i="43"/>
  <c r="D163" i="43"/>
  <c r="C163" i="43"/>
  <c r="D162" i="43"/>
  <c r="C162" i="43"/>
  <c r="D161" i="43"/>
  <c r="C161" i="43"/>
  <c r="D160" i="43"/>
  <c r="C160" i="43"/>
  <c r="D159" i="43"/>
  <c r="C159" i="43"/>
  <c r="D158" i="43"/>
  <c r="C158" i="43"/>
  <c r="D157" i="43"/>
  <c r="C157" i="43"/>
  <c r="D156" i="43"/>
  <c r="C156" i="43"/>
  <c r="D155" i="43"/>
  <c r="C155" i="43"/>
  <c r="D154" i="43"/>
  <c r="C154" i="43"/>
  <c r="D153" i="43"/>
  <c r="C153" i="43"/>
  <c r="D152" i="43"/>
  <c r="C152" i="43"/>
  <c r="D151" i="43"/>
  <c r="C151" i="43"/>
  <c r="D150" i="43"/>
  <c r="C150" i="43"/>
  <c r="D149" i="43"/>
  <c r="C149" i="43"/>
  <c r="D148" i="43"/>
  <c r="C148" i="43"/>
  <c r="D147" i="43"/>
  <c r="C147" i="43"/>
  <c r="D146" i="43"/>
  <c r="C146" i="43"/>
  <c r="D145" i="43"/>
  <c r="C145" i="43"/>
  <c r="D144" i="43"/>
  <c r="C144" i="43"/>
  <c r="D143" i="43"/>
  <c r="C143" i="43"/>
  <c r="D142" i="43"/>
  <c r="C142" i="43"/>
  <c r="D141" i="43"/>
  <c r="C141" i="43"/>
  <c r="D140" i="43"/>
  <c r="C140" i="43"/>
  <c r="D139" i="43"/>
  <c r="C139" i="43"/>
  <c r="D138" i="43"/>
  <c r="C138" i="43"/>
  <c r="D137" i="43"/>
  <c r="C137" i="43"/>
  <c r="D136" i="43"/>
  <c r="C136" i="43"/>
  <c r="D135" i="43"/>
  <c r="C135" i="43"/>
  <c r="D134" i="43"/>
  <c r="C134" i="43"/>
  <c r="D133" i="43"/>
  <c r="C133" i="43"/>
  <c r="D132" i="43"/>
  <c r="C132" i="43"/>
  <c r="D131" i="43"/>
  <c r="C131" i="43"/>
  <c r="D130" i="43"/>
  <c r="C130" i="43"/>
  <c r="D129" i="43"/>
  <c r="C129" i="43"/>
  <c r="D128" i="43"/>
  <c r="C128" i="43"/>
  <c r="D127" i="43"/>
  <c r="C127" i="43"/>
  <c r="D126" i="43"/>
  <c r="C126" i="43"/>
  <c r="D125" i="43"/>
  <c r="C125" i="43"/>
  <c r="D124" i="43"/>
  <c r="C124" i="43"/>
  <c r="D123" i="43"/>
  <c r="C123" i="43"/>
  <c r="D122" i="43"/>
  <c r="C122" i="43"/>
  <c r="D121" i="43"/>
  <c r="C121" i="43"/>
  <c r="D120" i="43"/>
  <c r="C120" i="43"/>
  <c r="D119" i="43"/>
  <c r="C119" i="43"/>
  <c r="D118" i="43"/>
  <c r="C118" i="43"/>
  <c r="D117" i="43"/>
  <c r="C117" i="43"/>
  <c r="D116" i="43"/>
  <c r="C116" i="43"/>
  <c r="D115" i="43"/>
  <c r="C115" i="43"/>
  <c r="D114" i="43"/>
  <c r="C114" i="43"/>
  <c r="D113" i="43"/>
  <c r="C113" i="43"/>
  <c r="D112" i="43"/>
  <c r="C112" i="43"/>
  <c r="D111" i="43"/>
  <c r="C111" i="43"/>
  <c r="D110" i="43"/>
  <c r="C110" i="43"/>
  <c r="D109" i="43"/>
  <c r="C109" i="43"/>
  <c r="D108" i="43"/>
  <c r="C108" i="43"/>
  <c r="D107" i="43"/>
  <c r="C107" i="43"/>
  <c r="D106" i="43"/>
  <c r="C106" i="43"/>
  <c r="D105" i="43"/>
  <c r="C105" i="43"/>
  <c r="D104" i="43"/>
  <c r="C104" i="43"/>
  <c r="D103" i="43"/>
  <c r="C103" i="43"/>
  <c r="D102" i="43"/>
  <c r="C102" i="43"/>
  <c r="D101" i="43"/>
  <c r="C101" i="43"/>
  <c r="D100" i="43"/>
  <c r="C100" i="43"/>
  <c r="D99" i="43"/>
  <c r="C99" i="43"/>
  <c r="D98" i="43"/>
  <c r="C98" i="43"/>
  <c r="D97" i="43"/>
  <c r="C97" i="43"/>
  <c r="D96" i="43"/>
  <c r="C96" i="43"/>
  <c r="D95" i="43"/>
  <c r="C95" i="43"/>
  <c r="D94" i="43"/>
  <c r="C94" i="43"/>
  <c r="D93" i="43"/>
  <c r="C93" i="43"/>
  <c r="D92" i="43"/>
  <c r="C92" i="43"/>
  <c r="D91" i="43"/>
  <c r="C91" i="43"/>
  <c r="D90" i="43"/>
  <c r="C90" i="43"/>
  <c r="D89" i="43"/>
  <c r="C89" i="43"/>
  <c r="D88" i="43"/>
  <c r="C88" i="43"/>
  <c r="D87" i="43"/>
  <c r="C87" i="43"/>
  <c r="D86" i="43"/>
  <c r="C86" i="43"/>
  <c r="D85" i="43"/>
  <c r="C85" i="43"/>
  <c r="D84" i="43"/>
  <c r="C84" i="43"/>
  <c r="D83" i="43"/>
  <c r="C83" i="43"/>
  <c r="D82" i="43"/>
  <c r="C82" i="43"/>
  <c r="D81" i="43"/>
  <c r="C81" i="43"/>
  <c r="D80" i="43"/>
  <c r="C80" i="43"/>
  <c r="D79" i="43"/>
  <c r="C79" i="43"/>
  <c r="D78" i="43"/>
  <c r="C78" i="43"/>
  <c r="D77" i="43"/>
  <c r="C77" i="43"/>
  <c r="D76" i="43"/>
  <c r="C76" i="43"/>
  <c r="D75" i="43"/>
  <c r="C75" i="43"/>
  <c r="D74" i="43"/>
  <c r="C74" i="43"/>
  <c r="D73" i="43"/>
  <c r="C73" i="43"/>
  <c r="D72" i="43"/>
  <c r="C72" i="43"/>
  <c r="D71" i="43"/>
  <c r="C71" i="43"/>
  <c r="D70" i="43"/>
  <c r="C70" i="43"/>
  <c r="D69" i="43"/>
  <c r="C69" i="43"/>
  <c r="D68" i="43"/>
  <c r="C68" i="43"/>
  <c r="D67" i="43"/>
  <c r="C67" i="43"/>
  <c r="D66" i="43"/>
  <c r="C66" i="43"/>
  <c r="D65" i="43"/>
  <c r="C65" i="43"/>
  <c r="D64" i="43"/>
  <c r="C64" i="43"/>
  <c r="D63" i="43"/>
  <c r="C63" i="43"/>
  <c r="D62" i="43"/>
  <c r="C62" i="43"/>
  <c r="D61" i="43"/>
  <c r="C61" i="43"/>
  <c r="D60" i="43"/>
  <c r="C60" i="43"/>
  <c r="D59" i="43"/>
  <c r="C59" i="43"/>
  <c r="D58" i="43"/>
  <c r="C58" i="43"/>
  <c r="D57" i="43"/>
  <c r="C57" i="43"/>
  <c r="D56" i="43"/>
  <c r="C56" i="43"/>
  <c r="D55" i="43"/>
  <c r="C55" i="43"/>
  <c r="D54" i="43"/>
  <c r="C54" i="43"/>
  <c r="D53" i="43"/>
  <c r="C53" i="43"/>
  <c r="D52" i="43"/>
  <c r="C52" i="43"/>
  <c r="D51" i="43"/>
  <c r="C51" i="43"/>
  <c r="D50" i="43"/>
  <c r="C50" i="43"/>
  <c r="D49" i="43"/>
  <c r="C49" i="43"/>
  <c r="D48" i="43"/>
  <c r="C48" i="43"/>
  <c r="D47" i="43"/>
  <c r="C47" i="43"/>
  <c r="D46" i="43"/>
  <c r="C46" i="43"/>
  <c r="D45" i="43"/>
  <c r="C45" i="43"/>
  <c r="D44" i="43"/>
  <c r="C44" i="43"/>
  <c r="D43" i="43"/>
  <c r="C43" i="43"/>
  <c r="D42" i="43"/>
  <c r="C42" i="43"/>
  <c r="D41" i="43"/>
  <c r="C41" i="43"/>
  <c r="D40" i="43"/>
  <c r="C40" i="43"/>
  <c r="D39" i="43"/>
  <c r="C39" i="43"/>
  <c r="D38" i="43"/>
  <c r="C38" i="43"/>
  <c r="D37" i="43"/>
  <c r="C37" i="43"/>
  <c r="D36" i="43"/>
  <c r="C36" i="43"/>
  <c r="D35" i="43"/>
  <c r="C35" i="43"/>
  <c r="D34" i="43"/>
  <c r="C34" i="43"/>
  <c r="D33" i="43"/>
  <c r="C33" i="43"/>
  <c r="D32" i="43"/>
  <c r="C32" i="43"/>
  <c r="D31" i="43"/>
  <c r="C31" i="43"/>
  <c r="D30" i="43"/>
  <c r="C30" i="43"/>
  <c r="D29" i="43"/>
  <c r="C29" i="43"/>
  <c r="D28" i="43"/>
  <c r="C28" i="43"/>
  <c r="D27" i="43"/>
  <c r="C27" i="43"/>
  <c r="D26" i="43"/>
  <c r="C26" i="43"/>
  <c r="D25" i="43"/>
  <c r="C25" i="43"/>
  <c r="D24" i="43"/>
  <c r="C24" i="43"/>
  <c r="D23" i="43"/>
  <c r="C23" i="43"/>
  <c r="D22" i="43"/>
  <c r="C22" i="43"/>
  <c r="D21" i="43"/>
  <c r="C21" i="43"/>
  <c r="D20" i="43"/>
  <c r="C20" i="43"/>
  <c r="D19" i="43"/>
  <c r="C19" i="43"/>
  <c r="D18" i="43"/>
  <c r="C18" i="43"/>
  <c r="D17" i="43"/>
  <c r="C17" i="43"/>
  <c r="D16" i="43"/>
  <c r="C16" i="43"/>
  <c r="D15" i="43"/>
  <c r="C15" i="43"/>
  <c r="D14" i="43"/>
  <c r="C14" i="43"/>
  <c r="D13" i="43"/>
  <c r="C13" i="43"/>
  <c r="D12" i="43"/>
  <c r="C12" i="43"/>
  <c r="D11" i="43"/>
  <c r="C11" i="43"/>
  <c r="C42" i="42"/>
  <c r="F31" i="43" s="1"/>
  <c r="C37" i="42"/>
  <c r="C36" i="42"/>
  <c r="C34" i="42"/>
  <c r="C33" i="42"/>
  <c r="C32" i="42"/>
  <c r="C23" i="44" l="1"/>
  <c r="C25" i="44" s="1"/>
  <c r="C26" i="44" s="1"/>
  <c r="E12" i="43"/>
  <c r="E58" i="43"/>
  <c r="E13" i="43"/>
  <c r="F14" i="43"/>
  <c r="F21" i="43"/>
  <c r="F29" i="43"/>
  <c r="F16" i="43"/>
  <c r="F13" i="43"/>
  <c r="E18" i="43"/>
  <c r="E20" i="43"/>
  <c r="C38" i="42"/>
  <c r="E205" i="43"/>
  <c r="E197" i="43"/>
  <c r="E208" i="43"/>
  <c r="E200" i="43"/>
  <c r="E211" i="43"/>
  <c r="E203" i="43"/>
  <c r="E195" i="43"/>
  <c r="E206" i="43"/>
  <c r="E198" i="43"/>
  <c r="E209" i="43"/>
  <c r="E201" i="43"/>
  <c r="E193" i="43"/>
  <c r="E207" i="43"/>
  <c r="E199" i="43"/>
  <c r="E191" i="43"/>
  <c r="E210" i="43"/>
  <c r="E202" i="43"/>
  <c r="E194" i="43"/>
  <c r="E204" i="43"/>
  <c r="E192" i="43"/>
  <c r="E188" i="43"/>
  <c r="E183" i="43"/>
  <c r="E175" i="43"/>
  <c r="E186" i="43"/>
  <c r="E178" i="43"/>
  <c r="E181" i="43"/>
  <c r="E173" i="43"/>
  <c r="E190" i="43"/>
  <c r="E179" i="43"/>
  <c r="E189" i="43"/>
  <c r="E187" i="43"/>
  <c r="E182" i="43"/>
  <c r="E174" i="43"/>
  <c r="E180" i="43"/>
  <c r="E176" i="43"/>
  <c r="E164" i="43"/>
  <c r="E156" i="43"/>
  <c r="E172" i="43"/>
  <c r="E167" i="43"/>
  <c r="E159" i="43"/>
  <c r="E162" i="43"/>
  <c r="E185" i="43"/>
  <c r="E171" i="43"/>
  <c r="E165" i="43"/>
  <c r="E157" i="43"/>
  <c r="E177" i="43"/>
  <c r="E170" i="43"/>
  <c r="E168" i="43"/>
  <c r="E160" i="43"/>
  <c r="E166" i="43"/>
  <c r="E158" i="43"/>
  <c r="E147" i="43"/>
  <c r="E184" i="43"/>
  <c r="E163" i="43"/>
  <c r="E150" i="43"/>
  <c r="E142" i="43"/>
  <c r="E196" i="43"/>
  <c r="E145" i="43"/>
  <c r="E161" i="43"/>
  <c r="E153" i="43"/>
  <c r="E148" i="43"/>
  <c r="E140" i="43"/>
  <c r="E154" i="43"/>
  <c r="E151" i="43"/>
  <c r="E143" i="43"/>
  <c r="E139" i="43"/>
  <c r="E137" i="43"/>
  <c r="E132" i="43"/>
  <c r="E124" i="43"/>
  <c r="E135" i="43"/>
  <c r="E127" i="43"/>
  <c r="E119" i="43"/>
  <c r="E111" i="43"/>
  <c r="E152" i="43"/>
  <c r="E146" i="43"/>
  <c r="E138" i="43"/>
  <c r="E130" i="43"/>
  <c r="E122" i="43"/>
  <c r="E114" i="43"/>
  <c r="E106" i="43"/>
  <c r="E169" i="43"/>
  <c r="E144" i="43"/>
  <c r="E155" i="43"/>
  <c r="E141" i="43"/>
  <c r="E131" i="43"/>
  <c r="E123" i="43"/>
  <c r="E115" i="43"/>
  <c r="E107" i="43"/>
  <c r="E118" i="43"/>
  <c r="E136" i="43"/>
  <c r="E134" i="43"/>
  <c r="E126" i="43"/>
  <c r="E120" i="43"/>
  <c r="E117" i="43"/>
  <c r="E129" i="43"/>
  <c r="E128" i="43"/>
  <c r="E100" i="43"/>
  <c r="E149" i="43"/>
  <c r="E133" i="43"/>
  <c r="E116" i="43"/>
  <c r="E113" i="43"/>
  <c r="E103" i="43"/>
  <c r="E95" i="43"/>
  <c r="E121" i="43"/>
  <c r="E110" i="43"/>
  <c r="E108" i="43"/>
  <c r="E90" i="43"/>
  <c r="E86" i="43"/>
  <c r="E104" i="43"/>
  <c r="E99" i="43"/>
  <c r="E96" i="43"/>
  <c r="E125" i="43"/>
  <c r="E97" i="43"/>
  <c r="E94" i="43"/>
  <c r="E89" i="43"/>
  <c r="E93" i="43"/>
  <c r="E87" i="43"/>
  <c r="E112" i="43"/>
  <c r="E98" i="43"/>
  <c r="E82" i="43"/>
  <c r="E109" i="43"/>
  <c r="E88" i="43"/>
  <c r="E80" i="43"/>
  <c r="E102" i="43"/>
  <c r="E101" i="43"/>
  <c r="E91" i="43"/>
  <c r="E83" i="43"/>
  <c r="E73" i="43"/>
  <c r="E65" i="43"/>
  <c r="E57" i="43"/>
  <c r="E85" i="43"/>
  <c r="E76" i="43"/>
  <c r="E68" i="43"/>
  <c r="E60" i="43"/>
  <c r="E71" i="43"/>
  <c r="E63" i="43"/>
  <c r="E81" i="43"/>
  <c r="E74" i="43"/>
  <c r="E66" i="43"/>
  <c r="E77" i="43"/>
  <c r="E69" i="43"/>
  <c r="E61" i="43"/>
  <c r="E84" i="43"/>
  <c r="E75" i="43"/>
  <c r="E67" i="43"/>
  <c r="E59" i="43"/>
  <c r="E79" i="43"/>
  <c r="E70" i="43"/>
  <c r="E62" i="43"/>
  <c r="E54" i="43"/>
  <c r="E45" i="43"/>
  <c r="E37" i="43"/>
  <c r="E29" i="43"/>
  <c r="E64" i="43"/>
  <c r="E48" i="43"/>
  <c r="E40" i="43"/>
  <c r="E32" i="43"/>
  <c r="E24" i="43"/>
  <c r="E92" i="43"/>
  <c r="E51" i="43"/>
  <c r="E43" i="43"/>
  <c r="E35" i="43"/>
  <c r="E27" i="43"/>
  <c r="E46" i="43"/>
  <c r="E38" i="43"/>
  <c r="E30" i="43"/>
  <c r="E22" i="43"/>
  <c r="E56" i="43"/>
  <c r="E53" i="43"/>
  <c r="E49" i="43"/>
  <c r="E41" i="43"/>
  <c r="E33" i="43"/>
  <c r="E25" i="43"/>
  <c r="E52" i="43"/>
  <c r="E44" i="43"/>
  <c r="E36" i="43"/>
  <c r="E105" i="43"/>
  <c r="E72" i="43"/>
  <c r="E47" i="43"/>
  <c r="E39" i="43"/>
  <c r="E31" i="43"/>
  <c r="G31" i="43" s="1"/>
  <c r="F208" i="43"/>
  <c r="F200" i="43"/>
  <c r="F192" i="43"/>
  <c r="F211" i="43"/>
  <c r="F203" i="43"/>
  <c r="F195" i="43"/>
  <c r="F206" i="43"/>
  <c r="F198" i="43"/>
  <c r="F190" i="43"/>
  <c r="F209" i="43"/>
  <c r="F201" i="43"/>
  <c r="F204" i="43"/>
  <c r="F196" i="43"/>
  <c r="F188" i="43"/>
  <c r="F210" i="43"/>
  <c r="F202" i="43"/>
  <c r="F194" i="43"/>
  <c r="F205" i="43"/>
  <c r="F197" i="43"/>
  <c r="F207" i="43"/>
  <c r="F186" i="43"/>
  <c r="F178" i="43"/>
  <c r="F170" i="43"/>
  <c r="F181" i="43"/>
  <c r="F184" i="43"/>
  <c r="F176" i="43"/>
  <c r="F191" i="43"/>
  <c r="F189" i="43"/>
  <c r="F187" i="43"/>
  <c r="F182" i="43"/>
  <c r="F193" i="43"/>
  <c r="F185" i="43"/>
  <c r="F177" i="43"/>
  <c r="F172" i="43"/>
  <c r="F167" i="43"/>
  <c r="F159" i="43"/>
  <c r="F173" i="43"/>
  <c r="F162" i="43"/>
  <c r="F171" i="43"/>
  <c r="F165" i="43"/>
  <c r="F168" i="43"/>
  <c r="F160" i="43"/>
  <c r="F183" i="43"/>
  <c r="F179" i="43"/>
  <c r="F174" i="43"/>
  <c r="F163" i="43"/>
  <c r="F169" i="43"/>
  <c r="F161" i="43"/>
  <c r="F164" i="43"/>
  <c r="F150" i="43"/>
  <c r="F142" i="43"/>
  <c r="F145" i="43"/>
  <c r="F175" i="43"/>
  <c r="F153" i="43"/>
  <c r="F148" i="43"/>
  <c r="F140" i="43"/>
  <c r="F199" i="43"/>
  <c r="F180" i="43"/>
  <c r="F154" i="43"/>
  <c r="F151" i="43"/>
  <c r="F143" i="43"/>
  <c r="F146" i="43"/>
  <c r="F132" i="43"/>
  <c r="F135" i="43"/>
  <c r="F127" i="43"/>
  <c r="F152" i="43"/>
  <c r="F138" i="43"/>
  <c r="F130" i="43"/>
  <c r="F122" i="43"/>
  <c r="F114" i="43"/>
  <c r="F157" i="43"/>
  <c r="F156" i="43"/>
  <c r="F144" i="43"/>
  <c r="F133" i="43"/>
  <c r="F125" i="43"/>
  <c r="F117" i="43"/>
  <c r="F109" i="43"/>
  <c r="F101" i="43"/>
  <c r="F155" i="43"/>
  <c r="F158" i="43"/>
  <c r="F141" i="43"/>
  <c r="F166" i="43"/>
  <c r="F149" i="43"/>
  <c r="F134" i="43"/>
  <c r="F126" i="43"/>
  <c r="F118" i="43"/>
  <c r="F110" i="43"/>
  <c r="F112" i="43"/>
  <c r="F139" i="43"/>
  <c r="F136" i="43"/>
  <c r="F129" i="43"/>
  <c r="F128" i="43"/>
  <c r="F123" i="43"/>
  <c r="F147" i="43"/>
  <c r="F106" i="43"/>
  <c r="F97" i="43"/>
  <c r="F111" i="43"/>
  <c r="F99" i="43"/>
  <c r="F121" i="43"/>
  <c r="F108" i="43"/>
  <c r="F104" i="43"/>
  <c r="F98" i="43"/>
  <c r="F90" i="43"/>
  <c r="F131" i="43"/>
  <c r="F124" i="43"/>
  <c r="F120" i="43"/>
  <c r="F100" i="43"/>
  <c r="F96" i="43"/>
  <c r="F95" i="43"/>
  <c r="F81" i="43"/>
  <c r="F115" i="43"/>
  <c r="F94" i="43"/>
  <c r="F89" i="43"/>
  <c r="F116" i="43"/>
  <c r="F93" i="43"/>
  <c r="F82" i="43"/>
  <c r="F105" i="43"/>
  <c r="F92" i="43"/>
  <c r="F85" i="43"/>
  <c r="F103" i="43"/>
  <c r="F102" i="43"/>
  <c r="F91" i="43"/>
  <c r="F83" i="43"/>
  <c r="F137" i="43"/>
  <c r="F119" i="43"/>
  <c r="F86" i="43"/>
  <c r="F76" i="43"/>
  <c r="F68" i="43"/>
  <c r="F60" i="43"/>
  <c r="F71" i="43"/>
  <c r="F63" i="43"/>
  <c r="F74" i="43"/>
  <c r="F66" i="43"/>
  <c r="F58" i="43"/>
  <c r="F80" i="43"/>
  <c r="F77" i="43"/>
  <c r="F69" i="43"/>
  <c r="F61" i="43"/>
  <c r="F78" i="43"/>
  <c r="F72" i="43"/>
  <c r="F64" i="43"/>
  <c r="F56" i="43"/>
  <c r="F113" i="43"/>
  <c r="F107" i="43"/>
  <c r="F87" i="43"/>
  <c r="F79" i="43"/>
  <c r="F70" i="43"/>
  <c r="F62" i="43"/>
  <c r="F73" i="43"/>
  <c r="F65" i="43"/>
  <c r="F57" i="43"/>
  <c r="F48" i="43"/>
  <c r="F40" i="43"/>
  <c r="F32" i="43"/>
  <c r="F24" i="43"/>
  <c r="F84" i="43"/>
  <c r="F67" i="43"/>
  <c r="F51" i="43"/>
  <c r="F43" i="43"/>
  <c r="F35" i="43"/>
  <c r="F27" i="43"/>
  <c r="F19" i="43"/>
  <c r="F59" i="43"/>
  <c r="F46" i="43"/>
  <c r="F38" i="43"/>
  <c r="F30" i="43"/>
  <c r="F53" i="43"/>
  <c r="F49" i="43"/>
  <c r="F41" i="43"/>
  <c r="F33" i="43"/>
  <c r="F25" i="43"/>
  <c r="F88" i="43"/>
  <c r="F52" i="43"/>
  <c r="F44" i="43"/>
  <c r="F36" i="43"/>
  <c r="F28" i="43"/>
  <c r="F54" i="43"/>
  <c r="F47" i="43"/>
  <c r="F39" i="43"/>
  <c r="F75" i="43"/>
  <c r="F55" i="43"/>
  <c r="F50" i="43"/>
  <c r="F42" i="43"/>
  <c r="F34" i="43"/>
  <c r="F26" i="43"/>
  <c r="E15" i="43"/>
  <c r="F18" i="43"/>
  <c r="F20" i="43"/>
  <c r="E23" i="43"/>
  <c r="E42" i="43"/>
  <c r="F45" i="43"/>
  <c r="E78" i="43"/>
  <c r="G78" i="43" s="1"/>
  <c r="E19" i="43"/>
  <c r="F23" i="43"/>
  <c r="E34" i="43"/>
  <c r="F15" i="43"/>
  <c r="F12" i="43"/>
  <c r="E17" i="43"/>
  <c r="E14" i="43"/>
  <c r="F17" i="43"/>
  <c r="E26" i="43"/>
  <c r="G26" i="43" s="1"/>
  <c r="E50" i="43"/>
  <c r="E55" i="43"/>
  <c r="F22" i="43"/>
  <c r="E11" i="43"/>
  <c r="F11" i="43"/>
  <c r="E16" i="43"/>
  <c r="G16" i="43" s="1"/>
  <c r="E21" i="43"/>
  <c r="G21" i="43" s="1"/>
  <c r="E28" i="43"/>
  <c r="F37" i="43"/>
  <c r="C35" i="42"/>
  <c r="C24" i="44" l="1"/>
  <c r="G55" i="43"/>
  <c r="G19" i="43"/>
  <c r="G25" i="43"/>
  <c r="G38" i="43"/>
  <c r="G32" i="43"/>
  <c r="G62" i="43"/>
  <c r="G69" i="43"/>
  <c r="H69" i="43" s="1"/>
  <c r="G101" i="43"/>
  <c r="H101" i="43" s="1"/>
  <c r="G87" i="43"/>
  <c r="H87" i="43" s="1"/>
  <c r="J87" i="43" s="1"/>
  <c r="G104" i="43"/>
  <c r="G113" i="43"/>
  <c r="G120" i="43"/>
  <c r="G130" i="43"/>
  <c r="G124" i="43"/>
  <c r="G148" i="43"/>
  <c r="H148" i="43" s="1"/>
  <c r="J148" i="43" s="1"/>
  <c r="G184" i="43"/>
  <c r="H184" i="43" s="1"/>
  <c r="G157" i="43"/>
  <c r="H157" i="43" s="1"/>
  <c r="J157" i="43" s="1"/>
  <c r="G179" i="43"/>
  <c r="G188" i="43"/>
  <c r="G207" i="43"/>
  <c r="G211" i="43"/>
  <c r="G105" i="43"/>
  <c r="G29" i="43"/>
  <c r="H29" i="43" s="1"/>
  <c r="J29" i="43" s="1"/>
  <c r="G156" i="43"/>
  <c r="H156" i="43" s="1"/>
  <c r="J156" i="43" s="1"/>
  <c r="G39" i="43"/>
  <c r="H39" i="43" s="1"/>
  <c r="J39" i="43" s="1"/>
  <c r="G33" i="43"/>
  <c r="G46" i="43"/>
  <c r="G40" i="43"/>
  <c r="G70" i="43"/>
  <c r="G77" i="43"/>
  <c r="G76" i="43"/>
  <c r="H76" i="43" s="1"/>
  <c r="J76" i="43" s="1"/>
  <c r="G102" i="43"/>
  <c r="H102" i="43" s="1"/>
  <c r="G93" i="43"/>
  <c r="H93" i="43" s="1"/>
  <c r="J93" i="43" s="1"/>
  <c r="G86" i="43"/>
  <c r="H86" i="43" s="1"/>
  <c r="G116" i="43"/>
  <c r="G126" i="43"/>
  <c r="G141" i="43"/>
  <c r="G138" i="43"/>
  <c r="G132" i="43"/>
  <c r="H132" i="43" s="1"/>
  <c r="J132" i="43" s="1"/>
  <c r="G153" i="43"/>
  <c r="H153" i="43" s="1"/>
  <c r="J153" i="43" s="1"/>
  <c r="G147" i="43"/>
  <c r="H147" i="43" s="1"/>
  <c r="J147" i="43" s="1"/>
  <c r="G165" i="43"/>
  <c r="G164" i="43"/>
  <c r="G190" i="43"/>
  <c r="G192" i="43"/>
  <c r="G193" i="43"/>
  <c r="G200" i="43"/>
  <c r="H200" i="43" s="1"/>
  <c r="G17" i="43"/>
  <c r="H17" i="43" s="1"/>
  <c r="G47" i="43"/>
  <c r="H47" i="43" s="1"/>
  <c r="G41" i="43"/>
  <c r="G27" i="43"/>
  <c r="G48" i="43"/>
  <c r="G79" i="43"/>
  <c r="G66" i="43"/>
  <c r="G85" i="43"/>
  <c r="H85" i="43" s="1"/>
  <c r="J85" i="43" s="1"/>
  <c r="G80" i="43"/>
  <c r="H80" i="43" s="1"/>
  <c r="J80" i="43" s="1"/>
  <c r="G89" i="43"/>
  <c r="H89" i="43" s="1"/>
  <c r="G90" i="43"/>
  <c r="G133" i="43"/>
  <c r="G134" i="43"/>
  <c r="G155" i="43"/>
  <c r="G146" i="43"/>
  <c r="G137" i="43"/>
  <c r="H137" i="43" s="1"/>
  <c r="G161" i="43"/>
  <c r="H161" i="43" s="1"/>
  <c r="G158" i="43"/>
  <c r="H158" i="43" s="1"/>
  <c r="G171" i="43"/>
  <c r="H171" i="43" s="1"/>
  <c r="G176" i="43"/>
  <c r="G173" i="43"/>
  <c r="G204" i="43"/>
  <c r="G201" i="43"/>
  <c r="G208" i="43"/>
  <c r="H208" i="43" s="1"/>
  <c r="G11" i="43"/>
  <c r="H11" i="43" s="1"/>
  <c r="J11" i="43" s="1"/>
  <c r="G23" i="43"/>
  <c r="H23" i="43" s="1"/>
  <c r="G72" i="43"/>
  <c r="G49" i="43"/>
  <c r="G35" i="43"/>
  <c r="G64" i="43"/>
  <c r="H64" i="43" s="1"/>
  <c r="J64" i="43" s="1"/>
  <c r="G59" i="43"/>
  <c r="G74" i="43"/>
  <c r="H74" i="43" s="1"/>
  <c r="J74" i="43" s="1"/>
  <c r="G57" i="43"/>
  <c r="H57" i="43" s="1"/>
  <c r="J57" i="43" s="1"/>
  <c r="G88" i="43"/>
  <c r="H88" i="43" s="1"/>
  <c r="G94" i="43"/>
  <c r="G108" i="43"/>
  <c r="G149" i="43"/>
  <c r="G136" i="43"/>
  <c r="H136" i="43" s="1"/>
  <c r="J136" i="43" s="1"/>
  <c r="G144" i="43"/>
  <c r="G152" i="43"/>
  <c r="H152" i="43" s="1"/>
  <c r="G139" i="43"/>
  <c r="H139" i="43" s="1"/>
  <c r="G145" i="43"/>
  <c r="H145" i="43" s="1"/>
  <c r="G166" i="43"/>
  <c r="H166" i="43" s="1"/>
  <c r="J166" i="43" s="1"/>
  <c r="G185" i="43"/>
  <c r="G180" i="43"/>
  <c r="G181" i="43"/>
  <c r="G194" i="43"/>
  <c r="G209" i="43"/>
  <c r="H209" i="43" s="1"/>
  <c r="J209" i="43" s="1"/>
  <c r="G197" i="43"/>
  <c r="H197" i="43" s="1"/>
  <c r="J197" i="43" s="1"/>
  <c r="G53" i="43"/>
  <c r="H53" i="43" s="1"/>
  <c r="G43" i="43"/>
  <c r="G67" i="43"/>
  <c r="G81" i="43"/>
  <c r="G65" i="43"/>
  <c r="H65" i="43" s="1"/>
  <c r="J65" i="43" s="1"/>
  <c r="G109" i="43"/>
  <c r="G97" i="43"/>
  <c r="H97" i="43" s="1"/>
  <c r="G110" i="43"/>
  <c r="H110" i="43" s="1"/>
  <c r="G100" i="43"/>
  <c r="H100" i="43" s="1"/>
  <c r="J100" i="43" s="1"/>
  <c r="G118" i="43"/>
  <c r="H118" i="43" s="1"/>
  <c r="J118" i="43" s="1"/>
  <c r="G169" i="43"/>
  <c r="G111" i="43"/>
  <c r="G143" i="43"/>
  <c r="H143" i="43" s="1"/>
  <c r="J143" i="43" s="1"/>
  <c r="G196" i="43"/>
  <c r="H196" i="43" s="1"/>
  <c r="J196" i="43" s="1"/>
  <c r="G160" i="43"/>
  <c r="H160" i="43" s="1"/>
  <c r="J160" i="43" s="1"/>
  <c r="G162" i="43"/>
  <c r="H162" i="43" s="1"/>
  <c r="G174" i="43"/>
  <c r="H174" i="43" s="1"/>
  <c r="G178" i="43"/>
  <c r="H178" i="43" s="1"/>
  <c r="J178" i="43" s="1"/>
  <c r="G202" i="43"/>
  <c r="G198" i="43"/>
  <c r="G205" i="43"/>
  <c r="H205" i="43" s="1"/>
  <c r="J205" i="43" s="1"/>
  <c r="G34" i="43"/>
  <c r="G36" i="43"/>
  <c r="H36" i="43" s="1"/>
  <c r="G56" i="43"/>
  <c r="H56" i="43" s="1"/>
  <c r="G51" i="43"/>
  <c r="H51" i="43" s="1"/>
  <c r="G37" i="43"/>
  <c r="G75" i="43"/>
  <c r="G63" i="43"/>
  <c r="G73" i="43"/>
  <c r="G82" i="43"/>
  <c r="G125" i="43"/>
  <c r="H125" i="43" s="1"/>
  <c r="G121" i="43"/>
  <c r="H121" i="43" s="1"/>
  <c r="G128" i="43"/>
  <c r="H128" i="43" s="1"/>
  <c r="J128" i="43" s="1"/>
  <c r="G107" i="43"/>
  <c r="H107" i="43" s="1"/>
  <c r="G106" i="43"/>
  <c r="G119" i="43"/>
  <c r="G151" i="43"/>
  <c r="H151" i="43" s="1"/>
  <c r="G142" i="43"/>
  <c r="G168" i="43"/>
  <c r="H168" i="43" s="1"/>
  <c r="G159" i="43"/>
  <c r="H159" i="43" s="1"/>
  <c r="G182" i="43"/>
  <c r="H182" i="43" s="1"/>
  <c r="G186" i="43"/>
  <c r="H186" i="43" s="1"/>
  <c r="G210" i="43"/>
  <c r="G206" i="43"/>
  <c r="G131" i="43"/>
  <c r="H131" i="43" s="1"/>
  <c r="G50" i="43"/>
  <c r="G15" i="43"/>
  <c r="H15" i="43" s="1"/>
  <c r="G44" i="43"/>
  <c r="H44" i="43" s="1"/>
  <c r="G22" i="43"/>
  <c r="H22" i="43" s="1"/>
  <c r="G92" i="43"/>
  <c r="H92" i="43" s="1"/>
  <c r="J92" i="43" s="1"/>
  <c r="G45" i="43"/>
  <c r="G84" i="43"/>
  <c r="G71" i="43"/>
  <c r="H71" i="43" s="1"/>
  <c r="G83" i="43"/>
  <c r="G98" i="43"/>
  <c r="H98" i="43" s="1"/>
  <c r="J98" i="43" s="1"/>
  <c r="G96" i="43"/>
  <c r="H96" i="43" s="1"/>
  <c r="J96" i="43" s="1"/>
  <c r="G95" i="43"/>
  <c r="H95" i="43" s="1"/>
  <c r="G129" i="43"/>
  <c r="H129" i="43" s="1"/>
  <c r="J129" i="43" s="1"/>
  <c r="G115" i="43"/>
  <c r="G114" i="43"/>
  <c r="G127" i="43"/>
  <c r="H127" i="43" s="1"/>
  <c r="J127" i="43" s="1"/>
  <c r="G154" i="43"/>
  <c r="H154" i="43" s="1"/>
  <c r="J154" i="43" s="1"/>
  <c r="G150" i="43"/>
  <c r="H150" i="43" s="1"/>
  <c r="G170" i="43"/>
  <c r="H170" i="43" s="1"/>
  <c r="G167" i="43"/>
  <c r="H167" i="43" s="1"/>
  <c r="G187" i="43"/>
  <c r="H187" i="43" s="1"/>
  <c r="J187" i="43" s="1"/>
  <c r="G175" i="43"/>
  <c r="G191" i="43"/>
  <c r="H191" i="43" s="1"/>
  <c r="J191" i="43" s="1"/>
  <c r="G195" i="43"/>
  <c r="H195" i="43" s="1"/>
  <c r="J195" i="43" s="1"/>
  <c r="G20" i="43"/>
  <c r="G58" i="43"/>
  <c r="H58" i="43" s="1"/>
  <c r="G68" i="43"/>
  <c r="H68" i="43" s="1"/>
  <c r="J68" i="43" s="1"/>
  <c r="G42" i="43"/>
  <c r="H42" i="43" s="1"/>
  <c r="J42" i="43" s="1"/>
  <c r="G28" i="43"/>
  <c r="H28" i="43" s="1"/>
  <c r="J28" i="43" s="1"/>
  <c r="G52" i="43"/>
  <c r="G30" i="43"/>
  <c r="G24" i="43"/>
  <c r="G54" i="43"/>
  <c r="G61" i="43"/>
  <c r="H61" i="43" s="1"/>
  <c r="G60" i="43"/>
  <c r="H60" i="43" s="1"/>
  <c r="J60" i="43" s="1"/>
  <c r="G91" i="43"/>
  <c r="H91" i="43" s="1"/>
  <c r="G112" i="43"/>
  <c r="H112" i="43" s="1"/>
  <c r="G99" i="43"/>
  <c r="G103" i="43"/>
  <c r="G117" i="43"/>
  <c r="H117" i="43" s="1"/>
  <c r="G123" i="43"/>
  <c r="H123" i="43" s="1"/>
  <c r="G122" i="43"/>
  <c r="H122" i="43" s="1"/>
  <c r="J122" i="43" s="1"/>
  <c r="G135" i="43"/>
  <c r="H135" i="43" s="1"/>
  <c r="J135" i="43" s="1"/>
  <c r="G140" i="43"/>
  <c r="H140" i="43" s="1"/>
  <c r="G163" i="43"/>
  <c r="H163" i="43" s="1"/>
  <c r="G177" i="43"/>
  <c r="H177" i="43" s="1"/>
  <c r="G172" i="43"/>
  <c r="G189" i="43"/>
  <c r="H189" i="43" s="1"/>
  <c r="J189" i="43" s="1"/>
  <c r="G183" i="43"/>
  <c r="H183" i="43" s="1"/>
  <c r="G199" i="43"/>
  <c r="H199" i="43" s="1"/>
  <c r="J199" i="43" s="1"/>
  <c r="G203" i="43"/>
  <c r="H203" i="43" s="1"/>
  <c r="G18" i="43"/>
  <c r="H18" i="43" s="1"/>
  <c r="G12" i="43"/>
  <c r="H12" i="43" s="1"/>
  <c r="G13" i="43"/>
  <c r="G14" i="43"/>
  <c r="H211" i="43"/>
  <c r="H206" i="43"/>
  <c r="J206" i="43" s="1"/>
  <c r="H198" i="43"/>
  <c r="J198" i="43" s="1"/>
  <c r="H201" i="43"/>
  <c r="J201" i="43" s="1"/>
  <c r="H193" i="43"/>
  <c r="H204" i="43"/>
  <c r="H207" i="43"/>
  <c r="H192" i="43"/>
  <c r="H210" i="43"/>
  <c r="H181" i="43"/>
  <c r="H173" i="43"/>
  <c r="H176" i="43"/>
  <c r="H179" i="43"/>
  <c r="H185" i="43"/>
  <c r="H180" i="43"/>
  <c r="J180" i="43" s="1"/>
  <c r="H165" i="43"/>
  <c r="J165" i="43" s="1"/>
  <c r="H202" i="43"/>
  <c r="J202" i="43" s="1"/>
  <c r="H188" i="43"/>
  <c r="H190" i="43"/>
  <c r="H175" i="43"/>
  <c r="H164" i="43"/>
  <c r="H146" i="43"/>
  <c r="H169" i="43"/>
  <c r="J169" i="43" s="1"/>
  <c r="H155" i="43"/>
  <c r="J155" i="43" s="1"/>
  <c r="H149" i="43"/>
  <c r="H138" i="43"/>
  <c r="H130" i="43"/>
  <c r="J130" i="43" s="1"/>
  <c r="H144" i="43"/>
  <c r="J144" i="43" s="1"/>
  <c r="H133" i="43"/>
  <c r="H109" i="43"/>
  <c r="J109" i="43" s="1"/>
  <c r="H194" i="43"/>
  <c r="H172" i="43"/>
  <c r="J172" i="43" s="1"/>
  <c r="H120" i="43"/>
  <c r="J120" i="43" s="1"/>
  <c r="H104" i="43"/>
  <c r="H142" i="43"/>
  <c r="H141" i="43"/>
  <c r="H113" i="43"/>
  <c r="J113" i="43" s="1"/>
  <c r="H105" i="43"/>
  <c r="H124" i="43"/>
  <c r="H115" i="43"/>
  <c r="H134" i="43"/>
  <c r="H126" i="43"/>
  <c r="J126" i="43" s="1"/>
  <c r="H106" i="43"/>
  <c r="H114" i="43"/>
  <c r="H111" i="43"/>
  <c r="H99" i="43"/>
  <c r="J99" i="43" s="1"/>
  <c r="H119" i="43"/>
  <c r="J119" i="43" s="1"/>
  <c r="H116" i="43"/>
  <c r="H103" i="43"/>
  <c r="J103" i="43" s="1"/>
  <c r="H94" i="43"/>
  <c r="J94" i="43" s="1"/>
  <c r="H84" i="43"/>
  <c r="J84" i="43" s="1"/>
  <c r="H78" i="43"/>
  <c r="J78" i="43" s="1"/>
  <c r="H90" i="43"/>
  <c r="H81" i="43"/>
  <c r="J81" i="43" s="1"/>
  <c r="H63" i="43"/>
  <c r="H55" i="43"/>
  <c r="J55" i="43" s="1"/>
  <c r="H66" i="43"/>
  <c r="J66" i="43" s="1"/>
  <c r="H83" i="43"/>
  <c r="H77" i="43"/>
  <c r="J77" i="43" s="1"/>
  <c r="H108" i="43"/>
  <c r="J108" i="43" s="1"/>
  <c r="H72" i="43"/>
  <c r="J72" i="43" s="1"/>
  <c r="H75" i="43"/>
  <c r="H67" i="43"/>
  <c r="H59" i="43"/>
  <c r="H82" i="43"/>
  <c r="J82" i="43" s="1"/>
  <c r="H73" i="43"/>
  <c r="H43" i="43"/>
  <c r="H35" i="43"/>
  <c r="H27" i="43"/>
  <c r="J27" i="43" s="1"/>
  <c r="H70" i="43"/>
  <c r="J70" i="43" s="1"/>
  <c r="H46" i="43"/>
  <c r="J46" i="43" s="1"/>
  <c r="H38" i="43"/>
  <c r="H30" i="43"/>
  <c r="J30" i="43" s="1"/>
  <c r="H79" i="43"/>
  <c r="J79" i="43" s="1"/>
  <c r="H49" i="43"/>
  <c r="J49" i="43" s="1"/>
  <c r="H41" i="43"/>
  <c r="H33" i="43"/>
  <c r="J33" i="43" s="1"/>
  <c r="H25" i="43"/>
  <c r="H52" i="43"/>
  <c r="H20" i="43"/>
  <c r="H62" i="43"/>
  <c r="J62" i="43" s="1"/>
  <c r="H54" i="43"/>
  <c r="H31" i="43"/>
  <c r="H50" i="43"/>
  <c r="J50" i="43" s="1"/>
  <c r="H45" i="43"/>
  <c r="J45" i="43" s="1"/>
  <c r="H37" i="43"/>
  <c r="H40" i="43"/>
  <c r="H14" i="43"/>
  <c r="H26" i="43"/>
  <c r="H34" i="43"/>
  <c r="H19" i="43"/>
  <c r="H24" i="43"/>
  <c r="J24" i="43" s="1"/>
  <c r="H48" i="43"/>
  <c r="J48" i="43" s="1"/>
  <c r="H32" i="43"/>
  <c r="H13" i="43"/>
  <c r="H16" i="43"/>
  <c r="H21" i="43"/>
  <c r="J21" i="43" s="1"/>
  <c r="K70" i="43" l="1"/>
  <c r="Y70" i="43"/>
  <c r="P70" i="43"/>
  <c r="Z70" i="43"/>
  <c r="K50" i="43"/>
  <c r="Z50" i="43"/>
  <c r="Y50" i="43"/>
  <c r="P50" i="43"/>
  <c r="K65" i="43"/>
  <c r="Z65" i="43"/>
  <c r="Y65" i="43"/>
  <c r="P65" i="43"/>
  <c r="K55" i="43"/>
  <c r="Z55" i="43"/>
  <c r="Y55" i="43"/>
  <c r="P55" i="43"/>
  <c r="K147" i="43"/>
  <c r="Y147" i="43"/>
  <c r="P147" i="43"/>
  <c r="Z147" i="43"/>
  <c r="K157" i="43"/>
  <c r="Y157" i="43"/>
  <c r="P157" i="43"/>
  <c r="Z157" i="43"/>
  <c r="K187" i="43"/>
  <c r="Y187" i="43"/>
  <c r="P187" i="43"/>
  <c r="Z187" i="43"/>
  <c r="K180" i="43"/>
  <c r="P180" i="43"/>
  <c r="Y180" i="43"/>
  <c r="Z180" i="43"/>
  <c r="Y206" i="43"/>
  <c r="K206" i="43"/>
  <c r="P206" i="43"/>
  <c r="Z206" i="43"/>
  <c r="Y72" i="43"/>
  <c r="P72" i="43"/>
  <c r="K72" i="43"/>
  <c r="Z72" i="43"/>
  <c r="Y28" i="43"/>
  <c r="K28" i="43"/>
  <c r="Z28" i="43"/>
  <c r="P28" i="43"/>
  <c r="K108" i="43"/>
  <c r="P108" i="43"/>
  <c r="Y108" i="43"/>
  <c r="Z108" i="43"/>
  <c r="Y78" i="43"/>
  <c r="K78" i="43"/>
  <c r="Z78" i="43"/>
  <c r="P78" i="43"/>
  <c r="Y172" i="43"/>
  <c r="K172" i="43"/>
  <c r="P172" i="43"/>
  <c r="Z172" i="43"/>
  <c r="Y153" i="43"/>
  <c r="K153" i="43"/>
  <c r="Z153" i="43"/>
  <c r="P153" i="43"/>
  <c r="Y160" i="43"/>
  <c r="P160" i="43"/>
  <c r="K160" i="43"/>
  <c r="Z160" i="43"/>
  <c r="K199" i="43"/>
  <c r="Y199" i="43"/>
  <c r="P199" i="43"/>
  <c r="Z199" i="43"/>
  <c r="Y21" i="43"/>
  <c r="P21" i="43"/>
  <c r="K21" i="43"/>
  <c r="Z21" i="43"/>
  <c r="K46" i="43"/>
  <c r="Y46" i="43"/>
  <c r="Z46" i="43"/>
  <c r="P46" i="43"/>
  <c r="Y74" i="43"/>
  <c r="K74" i="43"/>
  <c r="P74" i="43"/>
  <c r="Z74" i="43"/>
  <c r="Y82" i="43"/>
  <c r="K82" i="43"/>
  <c r="Z82" i="43"/>
  <c r="P82" i="43"/>
  <c r="K29" i="43"/>
  <c r="Y29" i="43"/>
  <c r="P29" i="43"/>
  <c r="Z29" i="43"/>
  <c r="Y77" i="43"/>
  <c r="K77" i="43"/>
  <c r="P77" i="43"/>
  <c r="Z77" i="43"/>
  <c r="K81" i="43"/>
  <c r="Y81" i="43"/>
  <c r="P81" i="43"/>
  <c r="Z81" i="43"/>
  <c r="K84" i="43"/>
  <c r="Y84" i="43"/>
  <c r="P84" i="43"/>
  <c r="Z84" i="43"/>
  <c r="Y103" i="43"/>
  <c r="P103" i="43"/>
  <c r="K103" i="43"/>
  <c r="Z103" i="43"/>
  <c r="K113" i="43"/>
  <c r="P113" i="43"/>
  <c r="Y113" i="43"/>
  <c r="Z113" i="43"/>
  <c r="Y156" i="43"/>
  <c r="P156" i="43"/>
  <c r="K156" i="43"/>
  <c r="Z156" i="43"/>
  <c r="K42" i="43"/>
  <c r="Z42" i="43"/>
  <c r="Y42" i="43"/>
  <c r="P42" i="43"/>
  <c r="Z92" i="43"/>
  <c r="Y92" i="43"/>
  <c r="P92" i="43"/>
  <c r="K92" i="43"/>
  <c r="K169" i="43"/>
  <c r="Y169" i="43"/>
  <c r="Z169" i="43"/>
  <c r="P169" i="43"/>
  <c r="K39" i="43"/>
  <c r="Y39" i="43"/>
  <c r="Z39" i="43"/>
  <c r="P39" i="43"/>
  <c r="K60" i="43"/>
  <c r="Y60" i="43"/>
  <c r="Z60" i="43"/>
  <c r="P60" i="43"/>
  <c r="Y127" i="43"/>
  <c r="Z127" i="43"/>
  <c r="K127" i="43"/>
  <c r="P127" i="43"/>
  <c r="Y143" i="43"/>
  <c r="K143" i="43"/>
  <c r="Z143" i="43"/>
  <c r="P143" i="43"/>
  <c r="Y154" i="43"/>
  <c r="K154" i="43"/>
  <c r="Z154" i="43"/>
  <c r="P154" i="43"/>
  <c r="K189" i="43"/>
  <c r="Y189" i="43"/>
  <c r="Z189" i="43"/>
  <c r="P189" i="43"/>
  <c r="K57" i="43"/>
  <c r="Y57" i="43"/>
  <c r="Z57" i="43"/>
  <c r="P57" i="43"/>
  <c r="Y79" i="43"/>
  <c r="K79" i="43"/>
  <c r="Z79" i="43"/>
  <c r="P79" i="43"/>
  <c r="Y165" i="43"/>
  <c r="K165" i="43"/>
  <c r="Z165" i="43"/>
  <c r="P165" i="43"/>
  <c r="K48" i="43"/>
  <c r="Y48" i="43"/>
  <c r="P48" i="43"/>
  <c r="Z48" i="43"/>
  <c r="K11" i="43"/>
  <c r="Z11" i="43"/>
  <c r="Y11" i="43"/>
  <c r="P11" i="43"/>
  <c r="K45" i="43"/>
  <c r="Y45" i="43"/>
  <c r="P45" i="43"/>
  <c r="Z45" i="43"/>
  <c r="Y94" i="43"/>
  <c r="K94" i="43"/>
  <c r="Z94" i="43"/>
  <c r="P94" i="43"/>
  <c r="Y120" i="43"/>
  <c r="K120" i="43"/>
  <c r="Z120" i="43"/>
  <c r="P120" i="43"/>
  <c r="K197" i="43"/>
  <c r="Z197" i="43"/>
  <c r="Y197" i="43"/>
  <c r="P197" i="43"/>
  <c r="K76" i="43"/>
  <c r="P76" i="43"/>
  <c r="Y76" i="43"/>
  <c r="Z76" i="43"/>
  <c r="Y66" i="43"/>
  <c r="K66" i="43"/>
  <c r="P66" i="43"/>
  <c r="Z66" i="43"/>
  <c r="K96" i="43"/>
  <c r="Z96" i="43"/>
  <c r="Y96" i="43"/>
  <c r="P96" i="43"/>
  <c r="Y85" i="43"/>
  <c r="K85" i="43"/>
  <c r="P85" i="43"/>
  <c r="Z85" i="43"/>
  <c r="Y118" i="43"/>
  <c r="P118" i="43"/>
  <c r="K118" i="43"/>
  <c r="Z118" i="43"/>
  <c r="Y119" i="43"/>
  <c r="K119" i="43"/>
  <c r="P119" i="43"/>
  <c r="Z119" i="43"/>
  <c r="K126" i="43"/>
  <c r="Y126" i="43"/>
  <c r="P126" i="43"/>
  <c r="Z126" i="43"/>
  <c r="K166" i="43"/>
  <c r="Z166" i="43"/>
  <c r="Y166" i="43"/>
  <c r="P166" i="43"/>
  <c r="Y178" i="43"/>
  <c r="K178" i="43"/>
  <c r="P178" i="43"/>
  <c r="Z178" i="43"/>
  <c r="K205" i="43"/>
  <c r="Z205" i="43"/>
  <c r="Y205" i="43"/>
  <c r="P205" i="43"/>
  <c r="K62" i="43"/>
  <c r="Y62" i="43"/>
  <c r="Z62" i="43"/>
  <c r="P62" i="43"/>
  <c r="K100" i="43"/>
  <c r="P100" i="43"/>
  <c r="Z100" i="43"/>
  <c r="Y100" i="43"/>
  <c r="Y93" i="43"/>
  <c r="K93" i="43"/>
  <c r="Z93" i="43"/>
  <c r="P93" i="43"/>
  <c r="Y122" i="43"/>
  <c r="K122" i="43"/>
  <c r="Z122" i="43"/>
  <c r="P122" i="43"/>
  <c r="Y136" i="43"/>
  <c r="K136" i="43"/>
  <c r="Z136" i="43"/>
  <c r="P136" i="43"/>
  <c r="K155" i="43"/>
  <c r="P155" i="43"/>
  <c r="Y155" i="43"/>
  <c r="Z155" i="43"/>
  <c r="K148" i="43"/>
  <c r="Y148" i="43"/>
  <c r="Z148" i="43"/>
  <c r="P148" i="43"/>
  <c r="K202" i="43"/>
  <c r="Y202" i="43"/>
  <c r="Z202" i="43"/>
  <c r="P202" i="43"/>
  <c r="K191" i="43"/>
  <c r="Y191" i="43"/>
  <c r="P191" i="43"/>
  <c r="Z191" i="43"/>
  <c r="Y198" i="43"/>
  <c r="K198" i="43"/>
  <c r="Z198" i="43"/>
  <c r="P198" i="43"/>
  <c r="I52" i="43"/>
  <c r="X52" i="43"/>
  <c r="N52" i="43"/>
  <c r="T52" i="43"/>
  <c r="J52" i="43"/>
  <c r="I123" i="43"/>
  <c r="X123" i="43"/>
  <c r="T123" i="43"/>
  <c r="N123" i="43"/>
  <c r="T152" i="43"/>
  <c r="I152" i="43"/>
  <c r="X152" i="43"/>
  <c r="N152" i="43"/>
  <c r="N211" i="43"/>
  <c r="T211" i="43"/>
  <c r="I211" i="43"/>
  <c r="X211" i="43"/>
  <c r="K68" i="43"/>
  <c r="Y68" i="43"/>
  <c r="Z68" i="43"/>
  <c r="P68" i="43"/>
  <c r="I15" i="43"/>
  <c r="X15" i="43"/>
  <c r="J15" i="43"/>
  <c r="L15" i="43" s="1"/>
  <c r="T15" i="43"/>
  <c r="N15" i="43"/>
  <c r="N16" i="43"/>
  <c r="I16" i="43"/>
  <c r="X16" i="43"/>
  <c r="T16" i="43"/>
  <c r="I13" i="43"/>
  <c r="X13" i="43"/>
  <c r="N13" i="43"/>
  <c r="T13" i="43"/>
  <c r="J13" i="43"/>
  <c r="L13" i="43" s="1"/>
  <c r="T34" i="43"/>
  <c r="I34" i="43"/>
  <c r="X34" i="43"/>
  <c r="N34" i="43"/>
  <c r="X14" i="43"/>
  <c r="I14" i="43"/>
  <c r="N14" i="43"/>
  <c r="T14" i="43"/>
  <c r="J14" i="43"/>
  <c r="L14" i="43" s="1"/>
  <c r="X23" i="43"/>
  <c r="I23" i="43"/>
  <c r="N23" i="43"/>
  <c r="T23" i="43"/>
  <c r="I36" i="43"/>
  <c r="X36" i="43"/>
  <c r="T36" i="43"/>
  <c r="N36" i="43"/>
  <c r="J36" i="43"/>
  <c r="L36" i="43" s="1"/>
  <c r="I53" i="43"/>
  <c r="X53" i="43"/>
  <c r="N53" i="43"/>
  <c r="T53" i="43"/>
  <c r="I35" i="43"/>
  <c r="X35" i="43"/>
  <c r="N35" i="43"/>
  <c r="T35" i="43"/>
  <c r="I73" i="43"/>
  <c r="X73" i="43"/>
  <c r="T73" i="43"/>
  <c r="N73" i="43"/>
  <c r="I61" i="43"/>
  <c r="X61" i="43"/>
  <c r="N61" i="43"/>
  <c r="T61" i="43"/>
  <c r="N63" i="43"/>
  <c r="T63" i="43"/>
  <c r="I63" i="43"/>
  <c r="X63" i="43"/>
  <c r="I86" i="43"/>
  <c r="X86" i="43"/>
  <c r="T86" i="43"/>
  <c r="N86" i="43"/>
  <c r="X87" i="43"/>
  <c r="I87" i="43"/>
  <c r="T87" i="43"/>
  <c r="L87" i="43"/>
  <c r="N87" i="43"/>
  <c r="I110" i="43"/>
  <c r="X110" i="43"/>
  <c r="N110" i="43"/>
  <c r="T110" i="43"/>
  <c r="I111" i="43"/>
  <c r="X111" i="43"/>
  <c r="N111" i="43"/>
  <c r="T111" i="43"/>
  <c r="T124" i="43"/>
  <c r="X124" i="43"/>
  <c r="I124" i="43"/>
  <c r="N124" i="43"/>
  <c r="I141" i="43"/>
  <c r="X141" i="43"/>
  <c r="N141" i="43"/>
  <c r="T141" i="43"/>
  <c r="I194" i="43"/>
  <c r="X194" i="43"/>
  <c r="T194" i="43"/>
  <c r="N194" i="43"/>
  <c r="J194" i="43"/>
  <c r="X138" i="43"/>
  <c r="I138" i="43"/>
  <c r="N138" i="43"/>
  <c r="T138" i="43"/>
  <c r="T159" i="43"/>
  <c r="X159" i="43"/>
  <c r="I159" i="43"/>
  <c r="N159" i="43"/>
  <c r="X145" i="43"/>
  <c r="I145" i="43"/>
  <c r="T145" i="43"/>
  <c r="N145" i="43"/>
  <c r="I190" i="43"/>
  <c r="X190" i="43"/>
  <c r="N190" i="43"/>
  <c r="T190" i="43"/>
  <c r="I168" i="43"/>
  <c r="X168" i="43"/>
  <c r="N168" i="43"/>
  <c r="T168" i="43"/>
  <c r="I177" i="43"/>
  <c r="N177" i="43"/>
  <c r="T177" i="43"/>
  <c r="X177" i="43"/>
  <c r="X192" i="43"/>
  <c r="I192" i="43"/>
  <c r="N192" i="43"/>
  <c r="T192" i="43"/>
  <c r="I207" i="43"/>
  <c r="X207" i="43"/>
  <c r="N207" i="43"/>
  <c r="T207" i="43"/>
  <c r="N195" i="43"/>
  <c r="T195" i="43"/>
  <c r="I195" i="43"/>
  <c r="X195" i="43"/>
  <c r="L195" i="43"/>
  <c r="I51" i="43"/>
  <c r="X51" i="43"/>
  <c r="T51" i="43"/>
  <c r="N51" i="43"/>
  <c r="X106" i="43"/>
  <c r="I106" i="43"/>
  <c r="N106" i="43"/>
  <c r="T106" i="43"/>
  <c r="I170" i="43"/>
  <c r="X170" i="43"/>
  <c r="T170" i="43"/>
  <c r="N170" i="43"/>
  <c r="K132" i="43"/>
  <c r="P132" i="43"/>
  <c r="Z132" i="43"/>
  <c r="Y132" i="43"/>
  <c r="K144" i="43"/>
  <c r="Y144" i="43"/>
  <c r="P144" i="43"/>
  <c r="Z144" i="43"/>
  <c r="I12" i="43"/>
  <c r="X12" i="43"/>
  <c r="T12" i="43"/>
  <c r="N12" i="43"/>
  <c r="I19" i="43"/>
  <c r="X19" i="43"/>
  <c r="N19" i="43"/>
  <c r="T19" i="43"/>
  <c r="J19" i="43"/>
  <c r="N32" i="43"/>
  <c r="T32" i="43"/>
  <c r="X32" i="43"/>
  <c r="I32" i="43"/>
  <c r="T26" i="43"/>
  <c r="I26" i="43"/>
  <c r="X26" i="43"/>
  <c r="N26" i="43"/>
  <c r="N40" i="43"/>
  <c r="T40" i="43"/>
  <c r="I40" i="43"/>
  <c r="X40" i="43"/>
  <c r="I31" i="43"/>
  <c r="X31" i="43"/>
  <c r="T31" i="43"/>
  <c r="N31" i="43"/>
  <c r="I44" i="43"/>
  <c r="X44" i="43"/>
  <c r="N44" i="43"/>
  <c r="T44" i="43"/>
  <c r="X79" i="43"/>
  <c r="I79" i="43"/>
  <c r="L79" i="43"/>
  <c r="T79" i="43"/>
  <c r="N79" i="43"/>
  <c r="I43" i="43"/>
  <c r="X43" i="43"/>
  <c r="N43" i="43"/>
  <c r="T43" i="43"/>
  <c r="I82" i="43"/>
  <c r="N82" i="43"/>
  <c r="T82" i="43"/>
  <c r="X82" i="43"/>
  <c r="L82" i="43"/>
  <c r="I69" i="43"/>
  <c r="X69" i="43"/>
  <c r="N69" i="43"/>
  <c r="T69" i="43"/>
  <c r="N71" i="43"/>
  <c r="T71" i="43"/>
  <c r="I71" i="43"/>
  <c r="X71" i="43"/>
  <c r="T101" i="43"/>
  <c r="I101" i="43"/>
  <c r="X101" i="43"/>
  <c r="N101" i="43"/>
  <c r="N97" i="43"/>
  <c r="X97" i="43"/>
  <c r="T97" i="43"/>
  <c r="I97" i="43"/>
  <c r="I131" i="43"/>
  <c r="X131" i="43"/>
  <c r="T131" i="43"/>
  <c r="N131" i="43"/>
  <c r="X114" i="43"/>
  <c r="I114" i="43"/>
  <c r="N114" i="43"/>
  <c r="T114" i="43"/>
  <c r="J114" i="43"/>
  <c r="N105" i="43"/>
  <c r="X105" i="43"/>
  <c r="I105" i="43"/>
  <c r="T105" i="43"/>
  <c r="N142" i="43"/>
  <c r="I142" i="43"/>
  <c r="X142" i="43"/>
  <c r="T142" i="43"/>
  <c r="T109" i="43"/>
  <c r="X109" i="43"/>
  <c r="I109" i="43"/>
  <c r="N109" i="43"/>
  <c r="L109" i="43"/>
  <c r="X140" i="43"/>
  <c r="T140" i="43"/>
  <c r="I140" i="43"/>
  <c r="N140" i="43"/>
  <c r="I169" i="43"/>
  <c r="X169" i="43"/>
  <c r="L169" i="43"/>
  <c r="T169" i="43"/>
  <c r="N169" i="43"/>
  <c r="I186" i="43"/>
  <c r="X186" i="43"/>
  <c r="N186" i="43"/>
  <c r="T186" i="43"/>
  <c r="I163" i="43"/>
  <c r="X163" i="43"/>
  <c r="N163" i="43"/>
  <c r="T163" i="43"/>
  <c r="X165" i="43"/>
  <c r="I165" i="43"/>
  <c r="T165" i="43"/>
  <c r="L165" i="43"/>
  <c r="N165" i="43"/>
  <c r="I185" i="43"/>
  <c r="N185" i="43"/>
  <c r="X185" i="43"/>
  <c r="T185" i="43"/>
  <c r="X200" i="43"/>
  <c r="I200" i="43"/>
  <c r="N200" i="43"/>
  <c r="T200" i="43"/>
  <c r="I196" i="43"/>
  <c r="X196" i="43"/>
  <c r="N196" i="43"/>
  <c r="T196" i="43"/>
  <c r="L196" i="43"/>
  <c r="N203" i="43"/>
  <c r="T203" i="43"/>
  <c r="I203" i="43"/>
  <c r="X203" i="43"/>
  <c r="J207" i="43"/>
  <c r="L207" i="43" s="1"/>
  <c r="J140" i="43"/>
  <c r="L140" i="43" s="1"/>
  <c r="J69" i="43"/>
  <c r="J200" i="43"/>
  <c r="J32" i="43"/>
  <c r="J192" i="43"/>
  <c r="J138" i="43"/>
  <c r="J203" i="43"/>
  <c r="J51" i="43"/>
  <c r="I29" i="43"/>
  <c r="X29" i="43"/>
  <c r="N29" i="43"/>
  <c r="T29" i="43"/>
  <c r="L29" i="43"/>
  <c r="I59" i="43"/>
  <c r="X59" i="43"/>
  <c r="N59" i="43"/>
  <c r="T59" i="43"/>
  <c r="I104" i="43"/>
  <c r="X104" i="43"/>
  <c r="N104" i="43"/>
  <c r="T104" i="43"/>
  <c r="I179" i="43"/>
  <c r="X179" i="43"/>
  <c r="N179" i="43"/>
  <c r="T179" i="43"/>
  <c r="Y128" i="43"/>
  <c r="K128" i="43"/>
  <c r="Z128" i="43"/>
  <c r="P128" i="43"/>
  <c r="Y209" i="43"/>
  <c r="P209" i="43"/>
  <c r="K209" i="43"/>
  <c r="Z209" i="43"/>
  <c r="Y201" i="43"/>
  <c r="P201" i="43"/>
  <c r="K201" i="43"/>
  <c r="Z201" i="43"/>
  <c r="Z196" i="43"/>
  <c r="Y196" i="43"/>
  <c r="K196" i="43"/>
  <c r="P196" i="43"/>
  <c r="K195" i="43"/>
  <c r="Y195" i="43"/>
  <c r="P195" i="43"/>
  <c r="Z195" i="43"/>
  <c r="K130" i="43"/>
  <c r="Y130" i="43"/>
  <c r="Z130" i="43"/>
  <c r="P130" i="43"/>
  <c r="I37" i="43"/>
  <c r="X37" i="43"/>
  <c r="N37" i="43"/>
  <c r="T37" i="43"/>
  <c r="I47" i="43"/>
  <c r="X47" i="43"/>
  <c r="N47" i="43"/>
  <c r="T47" i="43"/>
  <c r="N56" i="43"/>
  <c r="X56" i="43"/>
  <c r="I56" i="43"/>
  <c r="T56" i="43"/>
  <c r="X30" i="43"/>
  <c r="I30" i="43"/>
  <c r="N30" i="43"/>
  <c r="T30" i="43"/>
  <c r="L30" i="43"/>
  <c r="X60" i="43"/>
  <c r="I60" i="43"/>
  <c r="N60" i="43"/>
  <c r="L60" i="43"/>
  <c r="T60" i="43"/>
  <c r="I67" i="43"/>
  <c r="X67" i="43"/>
  <c r="N67" i="43"/>
  <c r="T67" i="43"/>
  <c r="I83" i="43"/>
  <c r="X83" i="43"/>
  <c r="N83" i="43"/>
  <c r="T83" i="43"/>
  <c r="X90" i="43"/>
  <c r="I90" i="43"/>
  <c r="T90" i="43"/>
  <c r="N90" i="43"/>
  <c r="J90" i="43"/>
  <c r="T80" i="43"/>
  <c r="X80" i="43"/>
  <c r="I80" i="43"/>
  <c r="N80" i="43"/>
  <c r="L80" i="43"/>
  <c r="X89" i="43"/>
  <c r="N89" i="43"/>
  <c r="I89" i="43"/>
  <c r="T89" i="43"/>
  <c r="X107" i="43"/>
  <c r="I107" i="43"/>
  <c r="T107" i="43"/>
  <c r="N107" i="43"/>
  <c r="J107" i="43"/>
  <c r="I127" i="43"/>
  <c r="X127" i="43"/>
  <c r="L127" i="43"/>
  <c r="T127" i="43"/>
  <c r="N127" i="43"/>
  <c r="X121" i="43"/>
  <c r="I121" i="43"/>
  <c r="T121" i="43"/>
  <c r="N121" i="43"/>
  <c r="X112" i="43"/>
  <c r="I112" i="43"/>
  <c r="N112" i="43"/>
  <c r="T112" i="43"/>
  <c r="X125" i="43"/>
  <c r="I125" i="43"/>
  <c r="T125" i="43"/>
  <c r="N125" i="43"/>
  <c r="J125" i="43"/>
  <c r="I135" i="43"/>
  <c r="X135" i="43"/>
  <c r="T135" i="43"/>
  <c r="L135" i="43"/>
  <c r="N135" i="43"/>
  <c r="I143" i="43"/>
  <c r="X143" i="43"/>
  <c r="T143" i="43"/>
  <c r="N143" i="43"/>
  <c r="L143" i="43"/>
  <c r="I164" i="43"/>
  <c r="X164" i="43"/>
  <c r="N164" i="43"/>
  <c r="T164" i="43"/>
  <c r="X174" i="43"/>
  <c r="I174" i="43"/>
  <c r="T174" i="43"/>
  <c r="N174" i="43"/>
  <c r="I154" i="43"/>
  <c r="X154" i="43"/>
  <c r="T154" i="43"/>
  <c r="L154" i="43"/>
  <c r="N154" i="43"/>
  <c r="X176" i="43"/>
  <c r="N176" i="43"/>
  <c r="T176" i="43"/>
  <c r="I176" i="43"/>
  <c r="I189" i="43"/>
  <c r="X189" i="43"/>
  <c r="T189" i="43"/>
  <c r="N189" i="43"/>
  <c r="L189" i="43"/>
  <c r="I193" i="43"/>
  <c r="X193" i="43"/>
  <c r="T193" i="43"/>
  <c r="N193" i="43"/>
  <c r="J31" i="43"/>
  <c r="L31" i="43" s="1"/>
  <c r="J190" i="43"/>
  <c r="L190" i="43" s="1"/>
  <c r="J141" i="43"/>
  <c r="J40" i="43"/>
  <c r="J47" i="43"/>
  <c r="L47" i="43" s="1"/>
  <c r="J121" i="43"/>
  <c r="J186" i="43"/>
  <c r="L186" i="43" s="1"/>
  <c r="J73" i="43"/>
  <c r="L73" i="43" s="1"/>
  <c r="J44" i="43"/>
  <c r="L44" i="43" s="1"/>
  <c r="I39" i="43"/>
  <c r="X39" i="43"/>
  <c r="N39" i="43"/>
  <c r="T39" i="43"/>
  <c r="L39" i="43"/>
  <c r="T84" i="43"/>
  <c r="I84" i="43"/>
  <c r="X84" i="43"/>
  <c r="N84" i="43"/>
  <c r="L84" i="43"/>
  <c r="I146" i="43"/>
  <c r="X146" i="43"/>
  <c r="T146" i="43"/>
  <c r="N146" i="43"/>
  <c r="J146" i="43"/>
  <c r="L146" i="43" s="1"/>
  <c r="I204" i="43"/>
  <c r="X204" i="43"/>
  <c r="T204" i="43"/>
  <c r="N204" i="43"/>
  <c r="Y135" i="43"/>
  <c r="K135" i="43"/>
  <c r="Z135" i="43"/>
  <c r="P135" i="43"/>
  <c r="Y99" i="43"/>
  <c r="K99" i="43"/>
  <c r="P99" i="43"/>
  <c r="Z99" i="43"/>
  <c r="K129" i="43"/>
  <c r="Y129" i="43"/>
  <c r="P129" i="43"/>
  <c r="Z129" i="43"/>
  <c r="K109" i="43"/>
  <c r="P109" i="43"/>
  <c r="Z109" i="43"/>
  <c r="Y109" i="43"/>
  <c r="K98" i="43"/>
  <c r="Y98" i="43"/>
  <c r="P98" i="43"/>
  <c r="Z98" i="43"/>
  <c r="K27" i="43"/>
  <c r="Y27" i="43"/>
  <c r="Z27" i="43"/>
  <c r="P27" i="43"/>
  <c r="J12" i="43"/>
  <c r="L12" i="43" s="1"/>
  <c r="T18" i="43"/>
  <c r="I18" i="43"/>
  <c r="X18" i="43"/>
  <c r="N18" i="43"/>
  <c r="J18" i="43"/>
  <c r="L18" i="43" s="1"/>
  <c r="Y49" i="43"/>
  <c r="K49" i="43"/>
  <c r="Z49" i="43"/>
  <c r="P49" i="43"/>
  <c r="I45" i="43"/>
  <c r="X45" i="43"/>
  <c r="N45" i="43"/>
  <c r="T45" i="43"/>
  <c r="L45" i="43"/>
  <c r="I54" i="43"/>
  <c r="X54" i="43"/>
  <c r="N54" i="43"/>
  <c r="T54" i="43"/>
  <c r="I25" i="43"/>
  <c r="X25" i="43"/>
  <c r="T25" i="43"/>
  <c r="N25" i="43"/>
  <c r="J25" i="43"/>
  <c r="X38" i="43"/>
  <c r="I38" i="43"/>
  <c r="T38" i="43"/>
  <c r="N38" i="43"/>
  <c r="X68" i="43"/>
  <c r="I68" i="43"/>
  <c r="T68" i="43"/>
  <c r="L68" i="43"/>
  <c r="N68" i="43"/>
  <c r="I75" i="43"/>
  <c r="X75" i="43"/>
  <c r="N75" i="43"/>
  <c r="T75" i="43"/>
  <c r="I91" i="43"/>
  <c r="T91" i="43"/>
  <c r="X91" i="43"/>
  <c r="N91" i="43"/>
  <c r="X95" i="43"/>
  <c r="N95" i="43"/>
  <c r="I95" i="43"/>
  <c r="T95" i="43"/>
  <c r="X88" i="43"/>
  <c r="N88" i="43"/>
  <c r="I88" i="43"/>
  <c r="T88" i="43"/>
  <c r="X94" i="43"/>
  <c r="N94" i="43"/>
  <c r="I94" i="43"/>
  <c r="T94" i="43"/>
  <c r="L94" i="43"/>
  <c r="T116" i="43"/>
  <c r="X116" i="43"/>
  <c r="N116" i="43"/>
  <c r="I116" i="43"/>
  <c r="N132" i="43"/>
  <c r="X132" i="43"/>
  <c r="I132" i="43"/>
  <c r="L132" i="43"/>
  <c r="T132" i="43"/>
  <c r="T129" i="43"/>
  <c r="I129" i="43"/>
  <c r="X129" i="43"/>
  <c r="N129" i="43"/>
  <c r="L129" i="43"/>
  <c r="X120" i="43"/>
  <c r="I120" i="43"/>
  <c r="T120" i="43"/>
  <c r="L120" i="43"/>
  <c r="N120" i="43"/>
  <c r="I133" i="43"/>
  <c r="X133" i="43"/>
  <c r="T133" i="43"/>
  <c r="N133" i="43"/>
  <c r="T167" i="43"/>
  <c r="X167" i="43"/>
  <c r="I167" i="43"/>
  <c r="N167" i="43"/>
  <c r="I151" i="43"/>
  <c r="X151" i="43"/>
  <c r="T151" i="43"/>
  <c r="N151" i="43"/>
  <c r="I158" i="43"/>
  <c r="X158" i="43"/>
  <c r="T158" i="43"/>
  <c r="N158" i="43"/>
  <c r="I183" i="43"/>
  <c r="X183" i="43"/>
  <c r="N183" i="43"/>
  <c r="T183" i="43"/>
  <c r="N162" i="43"/>
  <c r="I162" i="43"/>
  <c r="X162" i="43"/>
  <c r="T162" i="43"/>
  <c r="X184" i="43"/>
  <c r="N184" i="43"/>
  <c r="T184" i="43"/>
  <c r="I184" i="43"/>
  <c r="T197" i="43"/>
  <c r="I197" i="43"/>
  <c r="N197" i="43"/>
  <c r="X197" i="43"/>
  <c r="L197" i="43"/>
  <c r="I201" i="43"/>
  <c r="X201" i="43"/>
  <c r="N201" i="43"/>
  <c r="T201" i="43"/>
  <c r="L201" i="43"/>
  <c r="J158" i="43"/>
  <c r="L158" i="43" s="1"/>
  <c r="J184" i="43"/>
  <c r="L184" i="43" s="1"/>
  <c r="J111" i="43"/>
  <c r="L111" i="43" s="1"/>
  <c r="J54" i="43"/>
  <c r="L54" i="43" s="1"/>
  <c r="J176" i="43"/>
  <c r="L176" i="43" s="1"/>
  <c r="J116" i="43"/>
  <c r="L116" i="43" s="1"/>
  <c r="J59" i="43"/>
  <c r="J211" i="43"/>
  <c r="L211" i="43" s="1"/>
  <c r="J123" i="43"/>
  <c r="J67" i="43"/>
  <c r="J162" i="43"/>
  <c r="L162" i="43" s="1"/>
  <c r="J75" i="43"/>
  <c r="L75" i="43" s="1"/>
  <c r="X22" i="43"/>
  <c r="I22" i="43"/>
  <c r="T22" i="43"/>
  <c r="N22" i="43"/>
  <c r="I103" i="43"/>
  <c r="N103" i="43"/>
  <c r="X103" i="43"/>
  <c r="L103" i="43"/>
  <c r="T103" i="43"/>
  <c r="X156" i="43"/>
  <c r="I156" i="43"/>
  <c r="T156" i="43"/>
  <c r="L156" i="43"/>
  <c r="N156" i="43"/>
  <c r="K80" i="43"/>
  <c r="Y80" i="43"/>
  <c r="Z80" i="43"/>
  <c r="P80" i="43"/>
  <c r="Y87" i="43"/>
  <c r="K87" i="43"/>
  <c r="P87" i="43"/>
  <c r="Z87" i="43"/>
  <c r="Y33" i="43"/>
  <c r="K33" i="43"/>
  <c r="Z33" i="43"/>
  <c r="P33" i="43"/>
  <c r="K24" i="43"/>
  <c r="Z24" i="43"/>
  <c r="P24" i="43"/>
  <c r="Y24" i="43"/>
  <c r="Y64" i="43"/>
  <c r="P64" i="43"/>
  <c r="K64" i="43"/>
  <c r="Z64" i="43"/>
  <c r="Y30" i="43"/>
  <c r="K30" i="43"/>
  <c r="P30" i="43"/>
  <c r="Z30" i="43"/>
  <c r="J22" i="43"/>
  <c r="L22" i="43" s="1"/>
  <c r="N24" i="43"/>
  <c r="T24" i="43"/>
  <c r="X24" i="43"/>
  <c r="I24" i="43"/>
  <c r="L24" i="43"/>
  <c r="X58" i="43"/>
  <c r="I58" i="43"/>
  <c r="T58" i="43"/>
  <c r="N58" i="43"/>
  <c r="I62" i="43"/>
  <c r="X62" i="43"/>
  <c r="L62" i="43"/>
  <c r="T62" i="43"/>
  <c r="N62" i="43"/>
  <c r="I33" i="43"/>
  <c r="X33" i="43"/>
  <c r="T33" i="43"/>
  <c r="L33" i="43"/>
  <c r="N33" i="43"/>
  <c r="X46" i="43"/>
  <c r="I46" i="43"/>
  <c r="N46" i="43"/>
  <c r="T46" i="43"/>
  <c r="L46" i="43"/>
  <c r="X76" i="43"/>
  <c r="I76" i="43"/>
  <c r="N76" i="43"/>
  <c r="T76" i="43"/>
  <c r="L76" i="43"/>
  <c r="I64" i="43"/>
  <c r="X64" i="43"/>
  <c r="N64" i="43"/>
  <c r="T64" i="43"/>
  <c r="L64" i="43"/>
  <c r="X66" i="43"/>
  <c r="I66" i="43"/>
  <c r="T66" i="43"/>
  <c r="L66" i="43"/>
  <c r="N66" i="43"/>
  <c r="X96" i="43"/>
  <c r="N96" i="43"/>
  <c r="T96" i="43"/>
  <c r="I96" i="43"/>
  <c r="L96" i="43"/>
  <c r="X85" i="43"/>
  <c r="I85" i="43"/>
  <c r="L85" i="43"/>
  <c r="T85" i="43"/>
  <c r="N85" i="43"/>
  <c r="I118" i="43"/>
  <c r="X118" i="43"/>
  <c r="T118" i="43"/>
  <c r="L118" i="43"/>
  <c r="N118" i="43"/>
  <c r="I119" i="43"/>
  <c r="N119" i="43"/>
  <c r="X119" i="43"/>
  <c r="T119" i="43"/>
  <c r="L119" i="43"/>
  <c r="I126" i="43"/>
  <c r="X126" i="43"/>
  <c r="T126" i="43"/>
  <c r="L126" i="43"/>
  <c r="N126" i="43"/>
  <c r="T137" i="43"/>
  <c r="N137" i="43"/>
  <c r="I137" i="43"/>
  <c r="X137" i="43"/>
  <c r="I128" i="43"/>
  <c r="X128" i="43"/>
  <c r="N128" i="43"/>
  <c r="L128" i="43"/>
  <c r="T128" i="43"/>
  <c r="T144" i="43"/>
  <c r="I144" i="43"/>
  <c r="X144" i="43"/>
  <c r="N144" i="43"/>
  <c r="L144" i="43"/>
  <c r="I149" i="43"/>
  <c r="X149" i="43"/>
  <c r="T149" i="43"/>
  <c r="N149" i="43"/>
  <c r="J149" i="43"/>
  <c r="L149" i="43" s="1"/>
  <c r="I161" i="43"/>
  <c r="X161" i="43"/>
  <c r="T161" i="43"/>
  <c r="N161" i="43"/>
  <c r="J161" i="43"/>
  <c r="L161" i="43" s="1"/>
  <c r="I166" i="43"/>
  <c r="X166" i="43"/>
  <c r="T166" i="43"/>
  <c r="N166" i="43"/>
  <c r="L166" i="43"/>
  <c r="X188" i="43"/>
  <c r="I188" i="43"/>
  <c r="T188" i="43"/>
  <c r="N188" i="43"/>
  <c r="J188" i="43"/>
  <c r="L188" i="43" s="1"/>
  <c r="I178" i="43"/>
  <c r="X178" i="43"/>
  <c r="N178" i="43"/>
  <c r="T178" i="43"/>
  <c r="L178" i="43"/>
  <c r="X173" i="43"/>
  <c r="I173" i="43"/>
  <c r="N173" i="43"/>
  <c r="T173" i="43"/>
  <c r="T205" i="43"/>
  <c r="I205" i="43"/>
  <c r="N205" i="43"/>
  <c r="X205" i="43"/>
  <c r="L205" i="43"/>
  <c r="I209" i="43"/>
  <c r="X209" i="43"/>
  <c r="N209" i="43"/>
  <c r="T209" i="43"/>
  <c r="L209" i="43"/>
  <c r="J170" i="43"/>
  <c r="J110" i="43"/>
  <c r="J43" i="43"/>
  <c r="L43" i="43" s="1"/>
  <c r="J112" i="43"/>
  <c r="J35" i="43"/>
  <c r="J177" i="43"/>
  <c r="J124" i="43"/>
  <c r="J26" i="43"/>
  <c r="J91" i="43"/>
  <c r="L91" i="43" s="1"/>
  <c r="J16" i="43"/>
  <c r="J167" i="43"/>
  <c r="L167" i="43" s="1"/>
  <c r="J145" i="43"/>
  <c r="J173" i="43"/>
  <c r="L173" i="43" s="1"/>
  <c r="J104" i="43"/>
  <c r="L104" i="43" s="1"/>
  <c r="J38" i="43"/>
  <c r="L38" i="43" s="1"/>
  <c r="J163" i="43"/>
  <c r="J86" i="43"/>
  <c r="J151" i="43"/>
  <c r="N48" i="43"/>
  <c r="T48" i="43"/>
  <c r="I48" i="43"/>
  <c r="X48" i="43"/>
  <c r="L48" i="43"/>
  <c r="X81" i="43"/>
  <c r="I81" i="43"/>
  <c r="L81" i="43"/>
  <c r="T81" i="43"/>
  <c r="N81" i="43"/>
  <c r="I117" i="43"/>
  <c r="X117" i="43"/>
  <c r="T117" i="43"/>
  <c r="N117" i="43"/>
  <c r="X208" i="43"/>
  <c r="I208" i="43"/>
  <c r="T208" i="43"/>
  <c r="N208" i="43"/>
  <c r="J208" i="43"/>
  <c r="I20" i="43"/>
  <c r="X20" i="43"/>
  <c r="T20" i="43"/>
  <c r="N20" i="43"/>
  <c r="J20" i="43"/>
  <c r="L20" i="43" s="1"/>
  <c r="I41" i="43"/>
  <c r="X41" i="43"/>
  <c r="T41" i="43"/>
  <c r="N41" i="43"/>
  <c r="J41" i="43"/>
  <c r="L41" i="43" s="1"/>
  <c r="I70" i="43"/>
  <c r="X70" i="43"/>
  <c r="N70" i="43"/>
  <c r="L70" i="43"/>
  <c r="T70" i="43"/>
  <c r="I57" i="43"/>
  <c r="X57" i="43"/>
  <c r="T57" i="43"/>
  <c r="L57" i="43"/>
  <c r="N57" i="43"/>
  <c r="I72" i="43"/>
  <c r="X72" i="43"/>
  <c r="N72" i="43"/>
  <c r="T72" i="43"/>
  <c r="L72" i="43"/>
  <c r="X74" i="43"/>
  <c r="I74" i="43"/>
  <c r="N74" i="43"/>
  <c r="T74" i="43"/>
  <c r="L74" i="43"/>
  <c r="N100" i="43"/>
  <c r="T100" i="43"/>
  <c r="X100" i="43"/>
  <c r="I100" i="43"/>
  <c r="L100" i="43"/>
  <c r="I92" i="43"/>
  <c r="X92" i="43"/>
  <c r="N92" i="43"/>
  <c r="L92" i="43"/>
  <c r="T92" i="43"/>
  <c r="I93" i="43"/>
  <c r="X93" i="43"/>
  <c r="N93" i="43"/>
  <c r="T93" i="43"/>
  <c r="L93" i="43"/>
  <c r="I122" i="43"/>
  <c r="T122" i="43"/>
  <c r="X122" i="43"/>
  <c r="N122" i="43"/>
  <c r="L122" i="43"/>
  <c r="I134" i="43"/>
  <c r="X134" i="43"/>
  <c r="N134" i="43"/>
  <c r="T134" i="43"/>
  <c r="X139" i="43"/>
  <c r="N139" i="43"/>
  <c r="I139" i="43"/>
  <c r="T139" i="43"/>
  <c r="J139" i="43"/>
  <c r="I136" i="43"/>
  <c r="X136" i="43"/>
  <c r="L136" i="43"/>
  <c r="N136" i="43"/>
  <c r="T136" i="43"/>
  <c r="N150" i="43"/>
  <c r="I150" i="43"/>
  <c r="X150" i="43"/>
  <c r="T150" i="43"/>
  <c r="J150" i="43"/>
  <c r="L150" i="43" s="1"/>
  <c r="I155" i="43"/>
  <c r="X155" i="43"/>
  <c r="N155" i="43"/>
  <c r="T155" i="43"/>
  <c r="L155" i="43"/>
  <c r="X148" i="43"/>
  <c r="I148" i="43"/>
  <c r="L148" i="43"/>
  <c r="N148" i="43"/>
  <c r="T148" i="43"/>
  <c r="T175" i="43"/>
  <c r="I175" i="43"/>
  <c r="X175" i="43"/>
  <c r="N175" i="43"/>
  <c r="T202" i="43"/>
  <c r="I202" i="43"/>
  <c r="X202" i="43"/>
  <c r="L202" i="43"/>
  <c r="N202" i="43"/>
  <c r="I182" i="43"/>
  <c r="X182" i="43"/>
  <c r="N182" i="43"/>
  <c r="J182" i="43"/>
  <c r="L182" i="43" s="1"/>
  <c r="T182" i="43"/>
  <c r="I181" i="43"/>
  <c r="T181" i="43"/>
  <c r="X181" i="43"/>
  <c r="N181" i="43"/>
  <c r="I191" i="43"/>
  <c r="N191" i="43"/>
  <c r="X191" i="43"/>
  <c r="T191" i="43"/>
  <c r="L191" i="43"/>
  <c r="X198" i="43"/>
  <c r="I198" i="43"/>
  <c r="L198" i="43"/>
  <c r="N198" i="43"/>
  <c r="T198" i="43"/>
  <c r="J193" i="43"/>
  <c r="L193" i="43" s="1"/>
  <c r="J106" i="43"/>
  <c r="L106" i="43" s="1"/>
  <c r="J53" i="43"/>
  <c r="L53" i="43" s="1"/>
  <c r="J181" i="43"/>
  <c r="L181" i="43" s="1"/>
  <c r="J97" i="43"/>
  <c r="L97" i="43" s="1"/>
  <c r="J168" i="43"/>
  <c r="L168" i="43" s="1"/>
  <c r="J89" i="43"/>
  <c r="J179" i="43"/>
  <c r="J71" i="43"/>
  <c r="L71" i="43" s="1"/>
  <c r="J159" i="43"/>
  <c r="L159" i="43" s="1"/>
  <c r="J183" i="43"/>
  <c r="J83" i="43"/>
  <c r="L83" i="43" s="1"/>
  <c r="J137" i="43"/>
  <c r="J174" i="43"/>
  <c r="J95" i="43"/>
  <c r="J58" i="43"/>
  <c r="J37" i="43"/>
  <c r="L37" i="43" s="1"/>
  <c r="T11" i="43"/>
  <c r="I11" i="43"/>
  <c r="X11" i="43"/>
  <c r="N11" i="43"/>
  <c r="L11" i="43"/>
  <c r="I77" i="43"/>
  <c r="X77" i="43"/>
  <c r="L77" i="43"/>
  <c r="N77" i="43"/>
  <c r="T77" i="43"/>
  <c r="N113" i="43"/>
  <c r="X113" i="43"/>
  <c r="I113" i="43"/>
  <c r="T113" i="43"/>
  <c r="L113" i="43"/>
  <c r="I171" i="43"/>
  <c r="X171" i="43"/>
  <c r="N171" i="43"/>
  <c r="T171" i="43"/>
  <c r="X21" i="43"/>
  <c r="N21" i="43"/>
  <c r="I21" i="43"/>
  <c r="L21" i="43"/>
  <c r="T21" i="43"/>
  <c r="T42" i="43"/>
  <c r="I42" i="43"/>
  <c r="X42" i="43"/>
  <c r="N42" i="43"/>
  <c r="L42" i="43"/>
  <c r="X17" i="43"/>
  <c r="I17" i="43"/>
  <c r="N17" i="43"/>
  <c r="T17" i="43"/>
  <c r="T50" i="43"/>
  <c r="I50" i="43"/>
  <c r="X50" i="43"/>
  <c r="N50" i="43"/>
  <c r="L50" i="43"/>
  <c r="I28" i="43"/>
  <c r="X28" i="43"/>
  <c r="T28" i="43"/>
  <c r="N28" i="43"/>
  <c r="L28" i="43"/>
  <c r="I49" i="43"/>
  <c r="X49" i="43"/>
  <c r="T49" i="43"/>
  <c r="N49" i="43"/>
  <c r="L49" i="43"/>
  <c r="I27" i="43"/>
  <c r="X27" i="43"/>
  <c r="T27" i="43"/>
  <c r="L27" i="43"/>
  <c r="N27" i="43"/>
  <c r="T65" i="43"/>
  <c r="I65" i="43"/>
  <c r="X65" i="43"/>
  <c r="L65" i="43"/>
  <c r="N65" i="43"/>
  <c r="X108" i="43"/>
  <c r="N108" i="43"/>
  <c r="T108" i="43"/>
  <c r="I108" i="43"/>
  <c r="L108" i="43"/>
  <c r="X55" i="43"/>
  <c r="N55" i="43"/>
  <c r="I55" i="43"/>
  <c r="T55" i="43"/>
  <c r="L55" i="43"/>
  <c r="I78" i="43"/>
  <c r="T78" i="43"/>
  <c r="N78" i="43"/>
  <c r="X78" i="43"/>
  <c r="L78" i="43"/>
  <c r="I98" i="43"/>
  <c r="X98" i="43"/>
  <c r="T98" i="43"/>
  <c r="L98" i="43"/>
  <c r="N98" i="43"/>
  <c r="I102" i="43"/>
  <c r="X102" i="43"/>
  <c r="N102" i="43"/>
  <c r="T102" i="43"/>
  <c r="X99" i="43"/>
  <c r="I99" i="43"/>
  <c r="T99" i="43"/>
  <c r="L99" i="43"/>
  <c r="N99" i="43"/>
  <c r="I115" i="43"/>
  <c r="X115" i="43"/>
  <c r="T115" i="43"/>
  <c r="N115" i="43"/>
  <c r="I147" i="43"/>
  <c r="N147" i="43"/>
  <c r="X147" i="43"/>
  <c r="T147" i="43"/>
  <c r="L147" i="43"/>
  <c r="X172" i="43"/>
  <c r="N172" i="43"/>
  <c r="I172" i="43"/>
  <c r="L172" i="43"/>
  <c r="T172" i="43"/>
  <c r="X130" i="43"/>
  <c r="I130" i="43"/>
  <c r="N130" i="43"/>
  <c r="L130" i="43"/>
  <c r="T130" i="43"/>
  <c r="X157" i="43"/>
  <c r="I157" i="43"/>
  <c r="N157" i="43"/>
  <c r="L157" i="43"/>
  <c r="T157" i="43"/>
  <c r="X153" i="43"/>
  <c r="I153" i="43"/>
  <c r="N153" i="43"/>
  <c r="L153" i="43"/>
  <c r="T153" i="43"/>
  <c r="I187" i="43"/>
  <c r="T187" i="43"/>
  <c r="X187" i="43"/>
  <c r="N187" i="43"/>
  <c r="L187" i="43"/>
  <c r="I160" i="43"/>
  <c r="X160" i="43"/>
  <c r="N160" i="43"/>
  <c r="T160" i="43"/>
  <c r="L160" i="43"/>
  <c r="X180" i="43"/>
  <c r="N180" i="43"/>
  <c r="I180" i="43"/>
  <c r="L180" i="43"/>
  <c r="T180" i="43"/>
  <c r="T210" i="43"/>
  <c r="I210" i="43"/>
  <c r="X210" i="43"/>
  <c r="N210" i="43"/>
  <c r="J210" i="43"/>
  <c r="L210" i="43" s="1"/>
  <c r="I199" i="43"/>
  <c r="X199" i="43"/>
  <c r="N199" i="43"/>
  <c r="L199" i="43"/>
  <c r="T199" i="43"/>
  <c r="X206" i="43"/>
  <c r="I206" i="43"/>
  <c r="T206" i="43"/>
  <c r="L206" i="43"/>
  <c r="N206" i="43"/>
  <c r="J171" i="43"/>
  <c r="L171" i="43" s="1"/>
  <c r="J115" i="43"/>
  <c r="L115" i="43" s="1"/>
  <c r="J17" i="43"/>
  <c r="L17" i="43" s="1"/>
  <c r="J185" i="43"/>
  <c r="L185" i="43" s="1"/>
  <c r="J131" i="43"/>
  <c r="J34" i="43"/>
  <c r="L34" i="43" s="1"/>
  <c r="J164" i="43"/>
  <c r="L164" i="43" s="1"/>
  <c r="J102" i="43"/>
  <c r="L102" i="43" s="1"/>
  <c r="J134" i="43"/>
  <c r="L134" i="43" s="1"/>
  <c r="J133" i="43"/>
  <c r="L133" i="43" s="1"/>
  <c r="J61" i="43"/>
  <c r="L61" i="43" s="1"/>
  <c r="J117" i="43"/>
  <c r="L117" i="43" s="1"/>
  <c r="J142" i="43"/>
  <c r="L142" i="43" s="1"/>
  <c r="J63" i="43"/>
  <c r="J88" i="43"/>
  <c r="J175" i="43"/>
  <c r="L175" i="43" s="1"/>
  <c r="J105" i="43"/>
  <c r="L105" i="43" s="1"/>
  <c r="J23" i="43"/>
  <c r="J101" i="43"/>
  <c r="J56" i="43"/>
  <c r="J204" i="43"/>
  <c r="L204" i="43" s="1"/>
  <c r="J152" i="43"/>
  <c r="L152" i="43" s="1"/>
  <c r="AA97" i="43" l="1"/>
  <c r="R97" i="43"/>
  <c r="M97" i="43"/>
  <c r="M164" i="43"/>
  <c r="AA164" i="43"/>
  <c r="R164" i="43"/>
  <c r="AA176" i="43"/>
  <c r="R176" i="43"/>
  <c r="M176" i="43"/>
  <c r="M190" i="43"/>
  <c r="AA190" i="43"/>
  <c r="R190" i="43"/>
  <c r="AA152" i="43"/>
  <c r="R152" i="43"/>
  <c r="M152" i="43"/>
  <c r="AA34" i="43"/>
  <c r="R34" i="43"/>
  <c r="M34" i="43"/>
  <c r="AA210" i="43"/>
  <c r="M210" i="43"/>
  <c r="R210" i="43"/>
  <c r="AA53" i="43"/>
  <c r="M53" i="43"/>
  <c r="R53" i="43"/>
  <c r="AA31" i="43"/>
  <c r="M31" i="43"/>
  <c r="R31" i="43"/>
  <c r="M142" i="43"/>
  <c r="AA142" i="43"/>
  <c r="R142" i="43"/>
  <c r="M22" i="43"/>
  <c r="AA22" i="43"/>
  <c r="R22" i="43"/>
  <c r="AA185" i="43"/>
  <c r="R185" i="43"/>
  <c r="M185" i="43"/>
  <c r="R12" i="43"/>
  <c r="M12" i="43"/>
  <c r="AA12" i="43"/>
  <c r="M186" i="43"/>
  <c r="AA186" i="43"/>
  <c r="R186" i="43"/>
  <c r="M106" i="43"/>
  <c r="AA106" i="43"/>
  <c r="R106" i="43"/>
  <c r="M111" i="43"/>
  <c r="R111" i="43"/>
  <c r="AA111" i="43"/>
  <c r="M193" i="43"/>
  <c r="AA193" i="43"/>
  <c r="R193" i="43"/>
  <c r="M17" i="43"/>
  <c r="AA17" i="43"/>
  <c r="R17" i="43"/>
  <c r="M162" i="43"/>
  <c r="AA162" i="43"/>
  <c r="R162" i="43"/>
  <c r="M37" i="43"/>
  <c r="AA37" i="43"/>
  <c r="R37" i="43"/>
  <c r="M61" i="43"/>
  <c r="AA61" i="43"/>
  <c r="R61" i="43"/>
  <c r="M115" i="43"/>
  <c r="R115" i="43"/>
  <c r="AA115" i="43"/>
  <c r="M105" i="43"/>
  <c r="AA105" i="43"/>
  <c r="R105" i="43"/>
  <c r="AA134" i="43"/>
  <c r="M134" i="43"/>
  <c r="R134" i="43"/>
  <c r="M168" i="43"/>
  <c r="AA168" i="43"/>
  <c r="R168" i="43"/>
  <c r="AA188" i="43"/>
  <c r="M188" i="43"/>
  <c r="R188" i="43"/>
  <c r="M159" i="43"/>
  <c r="AA159" i="43"/>
  <c r="R159" i="43"/>
  <c r="M20" i="43"/>
  <c r="R20" i="43"/>
  <c r="AA20" i="43"/>
  <c r="M167" i="43"/>
  <c r="AA167" i="43"/>
  <c r="R167" i="43"/>
  <c r="AA116" i="43"/>
  <c r="R116" i="43"/>
  <c r="M116" i="43"/>
  <c r="AA15" i="43"/>
  <c r="M15" i="43"/>
  <c r="R15" i="43"/>
  <c r="K63" i="43"/>
  <c r="Y63" i="43"/>
  <c r="Z63" i="43"/>
  <c r="P63" i="43"/>
  <c r="M11" i="43"/>
  <c r="R11" i="43"/>
  <c r="AA11" i="43"/>
  <c r="M175" i="43"/>
  <c r="AA175" i="43"/>
  <c r="R175" i="43"/>
  <c r="K26" i="43"/>
  <c r="Z26" i="43"/>
  <c r="Y26" i="43"/>
  <c r="P26" i="43"/>
  <c r="U137" i="43"/>
  <c r="O137" i="43"/>
  <c r="V80" i="43"/>
  <c r="Q80" i="43"/>
  <c r="AA18" i="43"/>
  <c r="M18" i="43"/>
  <c r="R18" i="43"/>
  <c r="O121" i="43"/>
  <c r="U121" i="43"/>
  <c r="U83" i="43"/>
  <c r="O83" i="43"/>
  <c r="Q201" i="43"/>
  <c r="V201" i="43"/>
  <c r="O104" i="43"/>
  <c r="U104" i="43"/>
  <c r="L26" i="43"/>
  <c r="O195" i="43"/>
  <c r="U195" i="43"/>
  <c r="U86" i="43"/>
  <c r="O86" i="43"/>
  <c r="U34" i="43"/>
  <c r="O34" i="43"/>
  <c r="Z204" i="43"/>
  <c r="Y204" i="43"/>
  <c r="K204" i="43"/>
  <c r="P204" i="43"/>
  <c r="K137" i="43"/>
  <c r="Z137" i="43"/>
  <c r="P137" i="43"/>
  <c r="Y137" i="43"/>
  <c r="U175" i="43"/>
  <c r="O175" i="43"/>
  <c r="K208" i="43"/>
  <c r="Y208" i="43"/>
  <c r="P208" i="43"/>
  <c r="Z208" i="43"/>
  <c r="AA184" i="43"/>
  <c r="R184" i="43"/>
  <c r="M184" i="43"/>
  <c r="U68" i="43"/>
  <c r="O68" i="43"/>
  <c r="U18" i="43"/>
  <c r="O18" i="43"/>
  <c r="Y107" i="43"/>
  <c r="K107" i="43"/>
  <c r="P107" i="43"/>
  <c r="Z107" i="43"/>
  <c r="Y192" i="43"/>
  <c r="K192" i="43"/>
  <c r="Z192" i="43"/>
  <c r="P192" i="43"/>
  <c r="O163" i="43"/>
  <c r="U163" i="43"/>
  <c r="U26" i="43"/>
  <c r="O26" i="43"/>
  <c r="U141" i="43"/>
  <c r="O141" i="43"/>
  <c r="K175" i="43"/>
  <c r="Y175" i="43"/>
  <c r="P175" i="43"/>
  <c r="Z175" i="43"/>
  <c r="O206" i="43"/>
  <c r="U206" i="43"/>
  <c r="M98" i="43"/>
  <c r="AA98" i="43"/>
  <c r="R98" i="43"/>
  <c r="O27" i="43"/>
  <c r="U27" i="43"/>
  <c r="O50" i="43"/>
  <c r="U50" i="43"/>
  <c r="AA113" i="43"/>
  <c r="M113" i="43"/>
  <c r="R113" i="43"/>
  <c r="Y58" i="43"/>
  <c r="K58" i="43"/>
  <c r="P58" i="43"/>
  <c r="Z58" i="43"/>
  <c r="Y179" i="43"/>
  <c r="K179" i="43"/>
  <c r="Z179" i="43"/>
  <c r="P179" i="43"/>
  <c r="O191" i="43"/>
  <c r="U191" i="43"/>
  <c r="Y182" i="43"/>
  <c r="K182" i="43"/>
  <c r="Z182" i="43"/>
  <c r="P182" i="43"/>
  <c r="O148" i="43"/>
  <c r="U148" i="43"/>
  <c r="O136" i="43"/>
  <c r="U136" i="43"/>
  <c r="O139" i="43"/>
  <c r="U139" i="43"/>
  <c r="U122" i="43"/>
  <c r="O122" i="43"/>
  <c r="R72" i="43"/>
  <c r="AA72" i="43"/>
  <c r="M72" i="43"/>
  <c r="O41" i="43"/>
  <c r="U41" i="43"/>
  <c r="AA81" i="43"/>
  <c r="M81" i="43"/>
  <c r="R81" i="43"/>
  <c r="AB81" i="43" s="1"/>
  <c r="Y151" i="43"/>
  <c r="K151" i="43"/>
  <c r="Z151" i="43"/>
  <c r="P151" i="43"/>
  <c r="K16" i="43"/>
  <c r="Y16" i="43"/>
  <c r="Z16" i="43"/>
  <c r="P16" i="43"/>
  <c r="Y110" i="43"/>
  <c r="K110" i="43"/>
  <c r="Z110" i="43"/>
  <c r="P110" i="43"/>
  <c r="AA149" i="43"/>
  <c r="M149" i="43"/>
  <c r="R149" i="43"/>
  <c r="AA96" i="43"/>
  <c r="M96" i="43"/>
  <c r="R96" i="43"/>
  <c r="AA62" i="43"/>
  <c r="M62" i="43"/>
  <c r="R62" i="43"/>
  <c r="AB62" i="43" s="1"/>
  <c r="M24" i="43"/>
  <c r="AA24" i="43"/>
  <c r="R24" i="43"/>
  <c r="AB24" i="43" s="1"/>
  <c r="O22" i="43"/>
  <c r="U22" i="43"/>
  <c r="Y123" i="43"/>
  <c r="K123" i="43"/>
  <c r="Z123" i="43"/>
  <c r="P123" i="43"/>
  <c r="K158" i="43"/>
  <c r="Z158" i="43"/>
  <c r="Y158" i="43"/>
  <c r="P158" i="43"/>
  <c r="U197" i="43"/>
  <c r="O197" i="43"/>
  <c r="L151" i="43"/>
  <c r="O75" i="43"/>
  <c r="U75" i="43"/>
  <c r="O38" i="43"/>
  <c r="U38" i="43"/>
  <c r="M45" i="43"/>
  <c r="AA45" i="43"/>
  <c r="R45" i="43"/>
  <c r="AB45" i="43" s="1"/>
  <c r="V27" i="43"/>
  <c r="Q27" i="43"/>
  <c r="O204" i="43"/>
  <c r="U204" i="43"/>
  <c r="M146" i="43"/>
  <c r="AA146" i="43"/>
  <c r="R146" i="43"/>
  <c r="AA39" i="43"/>
  <c r="M39" i="43"/>
  <c r="R39" i="43"/>
  <c r="AB39" i="43" s="1"/>
  <c r="K121" i="43"/>
  <c r="P121" i="43"/>
  <c r="Y121" i="43"/>
  <c r="Z121" i="43"/>
  <c r="O125" i="43"/>
  <c r="U125" i="43"/>
  <c r="M127" i="43"/>
  <c r="AA127" i="43"/>
  <c r="R127" i="43"/>
  <c r="O67" i="43"/>
  <c r="U67" i="43"/>
  <c r="M30" i="43"/>
  <c r="AA30" i="43"/>
  <c r="R30" i="43"/>
  <c r="AB30" i="43" s="1"/>
  <c r="Q128" i="43"/>
  <c r="V128" i="43"/>
  <c r="O59" i="43"/>
  <c r="U59" i="43"/>
  <c r="K51" i="43"/>
  <c r="Z51" i="43"/>
  <c r="Y51" i="43"/>
  <c r="P51" i="43"/>
  <c r="K207" i="43"/>
  <c r="Y207" i="43"/>
  <c r="P207" i="43"/>
  <c r="Z207" i="43"/>
  <c r="O196" i="43"/>
  <c r="U196" i="43"/>
  <c r="U186" i="43"/>
  <c r="O186" i="43"/>
  <c r="U114" i="43"/>
  <c r="O114" i="43"/>
  <c r="AA79" i="43"/>
  <c r="M79" i="43"/>
  <c r="R79" i="43"/>
  <c r="AB79" i="43" s="1"/>
  <c r="Q144" i="43"/>
  <c r="V144" i="43"/>
  <c r="O170" i="43"/>
  <c r="U170" i="43"/>
  <c r="L192" i="43"/>
  <c r="O177" i="43"/>
  <c r="U177" i="43"/>
  <c r="U190" i="43"/>
  <c r="O190" i="43"/>
  <c r="O138" i="43"/>
  <c r="U138" i="43"/>
  <c r="O35" i="43"/>
  <c r="U35" i="43"/>
  <c r="Y36" i="43"/>
  <c r="K36" i="43"/>
  <c r="Z36" i="43"/>
  <c r="P36" i="43"/>
  <c r="O23" i="43"/>
  <c r="U23" i="43"/>
  <c r="U16" i="43"/>
  <c r="O16" i="43"/>
  <c r="V198" i="43"/>
  <c r="Q198" i="43"/>
  <c r="Q202" i="43"/>
  <c r="V202" i="43"/>
  <c r="V122" i="43"/>
  <c r="Q122" i="43"/>
  <c r="Q205" i="43"/>
  <c r="V205" i="43"/>
  <c r="Q166" i="43"/>
  <c r="V166" i="43"/>
  <c r="Q197" i="43"/>
  <c r="V197" i="43"/>
  <c r="V94" i="43"/>
  <c r="Q94" i="43"/>
  <c r="V11" i="43"/>
  <c r="Q11" i="43"/>
  <c r="V165" i="43"/>
  <c r="Q165" i="43"/>
  <c r="Q57" i="43"/>
  <c r="V57" i="43"/>
  <c r="Q154" i="43"/>
  <c r="V154" i="43"/>
  <c r="V127" i="43"/>
  <c r="Q127" i="43"/>
  <c r="Q39" i="43"/>
  <c r="V39" i="43"/>
  <c r="Q55" i="43"/>
  <c r="V55" i="43"/>
  <c r="Q50" i="43"/>
  <c r="V50" i="43"/>
  <c r="M130" i="43"/>
  <c r="AA130" i="43"/>
  <c r="R130" i="43"/>
  <c r="AB130" i="43" s="1"/>
  <c r="O42" i="43"/>
  <c r="U42" i="43"/>
  <c r="M181" i="43"/>
  <c r="AA181" i="43"/>
  <c r="R181" i="43"/>
  <c r="O72" i="43"/>
  <c r="AB72" i="43"/>
  <c r="U72" i="43"/>
  <c r="R64" i="43"/>
  <c r="AB64" i="43" s="1"/>
  <c r="AA64" i="43"/>
  <c r="M64" i="43"/>
  <c r="M94" i="43"/>
  <c r="AA94" i="43"/>
  <c r="R94" i="43"/>
  <c r="AB94" i="43" s="1"/>
  <c r="M135" i="43"/>
  <c r="R135" i="43"/>
  <c r="AB135" i="43" s="1"/>
  <c r="AA135" i="43"/>
  <c r="Y138" i="43"/>
  <c r="K138" i="43"/>
  <c r="P138" i="43"/>
  <c r="Z138" i="43"/>
  <c r="O51" i="43"/>
  <c r="U51" i="43"/>
  <c r="Y52" i="43"/>
  <c r="K52" i="43"/>
  <c r="Z52" i="43"/>
  <c r="P52" i="43"/>
  <c r="V156" i="43"/>
  <c r="Q156" i="43"/>
  <c r="Q160" i="43"/>
  <c r="V160" i="43"/>
  <c r="V180" i="43"/>
  <c r="Q180" i="43"/>
  <c r="O130" i="43"/>
  <c r="U130" i="43"/>
  <c r="K97" i="43"/>
  <c r="Z97" i="43"/>
  <c r="P97" i="43"/>
  <c r="AB97" i="43" s="1"/>
  <c r="Y97" i="43"/>
  <c r="M48" i="43"/>
  <c r="AA48" i="43"/>
  <c r="R48" i="43"/>
  <c r="AB96" i="43"/>
  <c r="O96" i="43"/>
  <c r="U96" i="43"/>
  <c r="AA129" i="43"/>
  <c r="M129" i="43"/>
  <c r="R129" i="43"/>
  <c r="AB129" i="43" s="1"/>
  <c r="K141" i="43"/>
  <c r="Y141" i="43"/>
  <c r="Z141" i="43"/>
  <c r="P141" i="43"/>
  <c r="U174" i="43"/>
  <c r="O174" i="43"/>
  <c r="M14" i="43"/>
  <c r="AA14" i="43"/>
  <c r="R14" i="43"/>
  <c r="Y23" i="43"/>
  <c r="K23" i="43"/>
  <c r="P23" i="43"/>
  <c r="Z23" i="43"/>
  <c r="Y102" i="43"/>
  <c r="K102" i="43"/>
  <c r="P102" i="43"/>
  <c r="Z102" i="43"/>
  <c r="AA153" i="43"/>
  <c r="M153" i="43"/>
  <c r="R153" i="43"/>
  <c r="AB153" i="43" s="1"/>
  <c r="K88" i="43"/>
  <c r="Y88" i="43"/>
  <c r="P88" i="43"/>
  <c r="Z88" i="43"/>
  <c r="K164" i="43"/>
  <c r="Y164" i="43"/>
  <c r="P164" i="43"/>
  <c r="Z164" i="43"/>
  <c r="M206" i="43"/>
  <c r="AA206" i="43"/>
  <c r="R206" i="43"/>
  <c r="AB206" i="43" s="1"/>
  <c r="AA180" i="43"/>
  <c r="R180" i="43"/>
  <c r="AB180" i="43" s="1"/>
  <c r="M180" i="43"/>
  <c r="O153" i="43"/>
  <c r="U153" i="43"/>
  <c r="O172" i="43"/>
  <c r="U172" i="43"/>
  <c r="U115" i="43"/>
  <c r="O115" i="43"/>
  <c r="AA55" i="43"/>
  <c r="M55" i="43"/>
  <c r="R55" i="43"/>
  <c r="AB55" i="43" s="1"/>
  <c r="U108" i="43"/>
  <c r="O108" i="43"/>
  <c r="M27" i="43"/>
  <c r="AA27" i="43"/>
  <c r="R27" i="43"/>
  <c r="AB27" i="43" s="1"/>
  <c r="AA42" i="43"/>
  <c r="R42" i="43"/>
  <c r="M42" i="43"/>
  <c r="O21" i="43"/>
  <c r="U21" i="43"/>
  <c r="Y95" i="43"/>
  <c r="K95" i="43"/>
  <c r="Z95" i="43"/>
  <c r="P95" i="43"/>
  <c r="K89" i="43"/>
  <c r="Y89" i="43"/>
  <c r="P89" i="43"/>
  <c r="Z89" i="43"/>
  <c r="O198" i="43"/>
  <c r="U198" i="43"/>
  <c r="U182" i="43"/>
  <c r="O182" i="43"/>
  <c r="M148" i="43"/>
  <c r="AA148" i="43"/>
  <c r="R148" i="43"/>
  <c r="AB148" i="43" s="1"/>
  <c r="K150" i="43"/>
  <c r="Z150" i="43"/>
  <c r="Y150" i="43"/>
  <c r="P150" i="43"/>
  <c r="AA136" i="43"/>
  <c r="M136" i="43"/>
  <c r="R136" i="43"/>
  <c r="AB136" i="43" s="1"/>
  <c r="M41" i="43"/>
  <c r="AA41" i="43"/>
  <c r="R41" i="43"/>
  <c r="O117" i="43"/>
  <c r="U117" i="43"/>
  <c r="Y86" i="43"/>
  <c r="K86" i="43"/>
  <c r="P86" i="43"/>
  <c r="Z86" i="43"/>
  <c r="Y91" i="43"/>
  <c r="K91" i="43"/>
  <c r="Z91" i="43"/>
  <c r="P91" i="43"/>
  <c r="Z170" i="43"/>
  <c r="Y170" i="43"/>
  <c r="P170" i="43"/>
  <c r="K170" i="43"/>
  <c r="U205" i="43"/>
  <c r="O205" i="43"/>
  <c r="M178" i="43"/>
  <c r="AA178" i="43"/>
  <c r="R178" i="43"/>
  <c r="AB178" i="43" s="1"/>
  <c r="K161" i="43"/>
  <c r="Y161" i="43"/>
  <c r="Z161" i="43"/>
  <c r="P161" i="43"/>
  <c r="O149" i="43"/>
  <c r="U149" i="43"/>
  <c r="M119" i="43"/>
  <c r="AA119" i="43"/>
  <c r="R119" i="43"/>
  <c r="AB119" i="43" s="1"/>
  <c r="U76" i="43"/>
  <c r="O76" i="43"/>
  <c r="O33" i="43"/>
  <c r="U33" i="43"/>
  <c r="K211" i="43"/>
  <c r="Y211" i="43"/>
  <c r="P211" i="43"/>
  <c r="Z211" i="43"/>
  <c r="M201" i="43"/>
  <c r="AA201" i="43"/>
  <c r="R201" i="43"/>
  <c r="O133" i="43"/>
  <c r="U133" i="43"/>
  <c r="M132" i="43"/>
  <c r="AA132" i="43"/>
  <c r="R132" i="43"/>
  <c r="AB132" i="43" s="1"/>
  <c r="U91" i="43"/>
  <c r="O91" i="43"/>
  <c r="K18" i="43"/>
  <c r="Z18" i="43"/>
  <c r="P18" i="43"/>
  <c r="AB18" i="43" s="1"/>
  <c r="Y18" i="43"/>
  <c r="Q99" i="43"/>
  <c r="V99" i="43"/>
  <c r="K47" i="43"/>
  <c r="Y47" i="43"/>
  <c r="Z47" i="43"/>
  <c r="P47" i="43"/>
  <c r="U164" i="43"/>
  <c r="O164" i="43"/>
  <c r="O135" i="43"/>
  <c r="U135" i="43"/>
  <c r="L121" i="43"/>
  <c r="L89" i="43"/>
  <c r="U56" i="43"/>
  <c r="O56" i="43"/>
  <c r="U37" i="43"/>
  <c r="O37" i="43"/>
  <c r="V195" i="43"/>
  <c r="Q195" i="43"/>
  <c r="K203" i="43"/>
  <c r="Y203" i="43"/>
  <c r="P203" i="43"/>
  <c r="Z203" i="43"/>
  <c r="L203" i="43"/>
  <c r="U140" i="43"/>
  <c r="O140" i="43"/>
  <c r="O69" i="43"/>
  <c r="U69" i="43"/>
  <c r="O31" i="43"/>
  <c r="U31" i="43"/>
  <c r="U40" i="43"/>
  <c r="O40" i="43"/>
  <c r="L51" i="43"/>
  <c r="L141" i="43"/>
  <c r="L110" i="43"/>
  <c r="U73" i="43"/>
  <c r="O73" i="43"/>
  <c r="O36" i="43"/>
  <c r="U36" i="43"/>
  <c r="U13" i="43"/>
  <c r="O13" i="43"/>
  <c r="O15" i="43"/>
  <c r="U15" i="43"/>
  <c r="U152" i="43"/>
  <c r="O152" i="43"/>
  <c r="Q119" i="43"/>
  <c r="V119" i="43"/>
  <c r="V85" i="43"/>
  <c r="Q85" i="43"/>
  <c r="V66" i="43"/>
  <c r="Q66" i="43"/>
  <c r="Q92" i="43"/>
  <c r="V92" i="43"/>
  <c r="V81" i="43"/>
  <c r="Q81" i="43"/>
  <c r="Q29" i="43"/>
  <c r="V29" i="43"/>
  <c r="V74" i="43"/>
  <c r="Q74" i="43"/>
  <c r="V172" i="43"/>
  <c r="Q172" i="43"/>
  <c r="V157" i="43"/>
  <c r="Q157" i="43"/>
  <c r="AA187" i="43"/>
  <c r="R187" i="43"/>
  <c r="AB187" i="43" s="1"/>
  <c r="M187" i="43"/>
  <c r="Y168" i="43"/>
  <c r="P168" i="43"/>
  <c r="K168" i="43"/>
  <c r="Z168" i="43"/>
  <c r="AA92" i="43"/>
  <c r="R92" i="43"/>
  <c r="AB92" i="43" s="1"/>
  <c r="M92" i="43"/>
  <c r="Y163" i="43"/>
  <c r="K163" i="43"/>
  <c r="Z163" i="43"/>
  <c r="P163" i="43"/>
  <c r="Q33" i="43"/>
  <c r="V33" i="43"/>
  <c r="AA133" i="43"/>
  <c r="R133" i="43"/>
  <c r="M133" i="43"/>
  <c r="O88" i="43"/>
  <c r="U88" i="43"/>
  <c r="K40" i="43"/>
  <c r="Z40" i="43"/>
  <c r="Y40" i="43"/>
  <c r="P40" i="43"/>
  <c r="M71" i="43"/>
  <c r="AA71" i="43"/>
  <c r="R71" i="43"/>
  <c r="M36" i="43"/>
  <c r="AA36" i="43"/>
  <c r="R36" i="43"/>
  <c r="K131" i="43"/>
  <c r="Y131" i="43"/>
  <c r="Z131" i="43"/>
  <c r="P131" i="43"/>
  <c r="U187" i="43"/>
  <c r="O187" i="43"/>
  <c r="U65" i="43"/>
  <c r="O65" i="43"/>
  <c r="M74" i="43"/>
  <c r="AA74" i="43"/>
  <c r="R74" i="43"/>
  <c r="AB74" i="43" s="1"/>
  <c r="U58" i="43"/>
  <c r="O58" i="43"/>
  <c r="O158" i="43"/>
  <c r="U158" i="43"/>
  <c r="AA189" i="43"/>
  <c r="M189" i="43"/>
  <c r="R189" i="43"/>
  <c r="AB189" i="43" s="1"/>
  <c r="K90" i="43"/>
  <c r="Y90" i="43"/>
  <c r="Z90" i="43"/>
  <c r="P90" i="43"/>
  <c r="O185" i="43"/>
  <c r="U185" i="43"/>
  <c r="L131" i="43"/>
  <c r="O63" i="43"/>
  <c r="U63" i="43"/>
  <c r="K56" i="43"/>
  <c r="P56" i="43"/>
  <c r="Y56" i="43"/>
  <c r="Z56" i="43"/>
  <c r="K185" i="43"/>
  <c r="Z185" i="43"/>
  <c r="Y185" i="43"/>
  <c r="P185" i="43"/>
  <c r="U210" i="43"/>
  <c r="O210" i="43"/>
  <c r="O102" i="43"/>
  <c r="U102" i="43"/>
  <c r="R78" i="43"/>
  <c r="AB78" i="43" s="1"/>
  <c r="M78" i="43"/>
  <c r="AA78" i="43"/>
  <c r="O55" i="43"/>
  <c r="U55" i="43"/>
  <c r="M65" i="43"/>
  <c r="AA65" i="43"/>
  <c r="R65" i="43"/>
  <c r="AB65" i="43" s="1"/>
  <c r="O113" i="43"/>
  <c r="AB113" i="43"/>
  <c r="U113" i="43"/>
  <c r="Y83" i="43"/>
  <c r="K83" i="43"/>
  <c r="Z83" i="43"/>
  <c r="P83" i="43"/>
  <c r="K181" i="43"/>
  <c r="P181" i="43"/>
  <c r="AB181" i="43" s="1"/>
  <c r="Y181" i="43"/>
  <c r="Z181" i="43"/>
  <c r="M155" i="43"/>
  <c r="AA155" i="43"/>
  <c r="R155" i="43"/>
  <c r="K139" i="43"/>
  <c r="Y139" i="43"/>
  <c r="P139" i="43"/>
  <c r="Z139" i="43"/>
  <c r="AA93" i="43"/>
  <c r="M93" i="43"/>
  <c r="R93" i="43"/>
  <c r="AB93" i="43" s="1"/>
  <c r="U70" i="43"/>
  <c r="O70" i="43"/>
  <c r="U208" i="43"/>
  <c r="O208" i="43"/>
  <c r="K104" i="43"/>
  <c r="Z104" i="43"/>
  <c r="Y104" i="43"/>
  <c r="P104" i="43"/>
  <c r="K177" i="43"/>
  <c r="Z177" i="43"/>
  <c r="Y177" i="43"/>
  <c r="P177" i="43"/>
  <c r="O209" i="43"/>
  <c r="U209" i="43"/>
  <c r="M173" i="43"/>
  <c r="AA173" i="43"/>
  <c r="R173" i="43"/>
  <c r="AA166" i="43"/>
  <c r="R166" i="43"/>
  <c r="AB166" i="43" s="1"/>
  <c r="M166" i="43"/>
  <c r="O128" i="43"/>
  <c r="U128" i="43"/>
  <c r="U126" i="43"/>
  <c r="O126" i="43"/>
  <c r="U119" i="43"/>
  <c r="O119" i="43"/>
  <c r="O64" i="43"/>
  <c r="U64" i="43"/>
  <c r="M46" i="43"/>
  <c r="AA46" i="43"/>
  <c r="R46" i="43"/>
  <c r="AB46" i="43" s="1"/>
  <c r="L58" i="43"/>
  <c r="U24" i="43"/>
  <c r="O24" i="43"/>
  <c r="Q64" i="43"/>
  <c r="V64" i="43"/>
  <c r="M103" i="43"/>
  <c r="AA103" i="43"/>
  <c r="R103" i="43"/>
  <c r="AB103" i="43" s="1"/>
  <c r="K176" i="43"/>
  <c r="Z176" i="43"/>
  <c r="Y176" i="43"/>
  <c r="P176" i="43"/>
  <c r="O162" i="43"/>
  <c r="U162" i="43"/>
  <c r="O129" i="43"/>
  <c r="U129" i="43"/>
  <c r="U132" i="43"/>
  <c r="O132" i="43"/>
  <c r="L95" i="43"/>
  <c r="M68" i="43"/>
  <c r="AA68" i="43"/>
  <c r="R68" i="43"/>
  <c r="AB68" i="43" s="1"/>
  <c r="V135" i="43"/>
  <c r="Q135" i="43"/>
  <c r="O84" i="43"/>
  <c r="U84" i="43"/>
  <c r="Y190" i="43"/>
  <c r="K190" i="43"/>
  <c r="P190" i="43"/>
  <c r="AB190" i="43" s="1"/>
  <c r="Z190" i="43"/>
  <c r="O189" i="43"/>
  <c r="U189" i="43"/>
  <c r="M143" i="43"/>
  <c r="AA143" i="43"/>
  <c r="R143" i="43"/>
  <c r="AB143" i="43" s="1"/>
  <c r="L107" i="43"/>
  <c r="O89" i="43"/>
  <c r="U89" i="43"/>
  <c r="O90" i="43"/>
  <c r="U90" i="43"/>
  <c r="M60" i="43"/>
  <c r="AA60" i="43"/>
  <c r="R60" i="43"/>
  <c r="AB60" i="43" s="1"/>
  <c r="O47" i="43"/>
  <c r="U47" i="43"/>
  <c r="V130" i="43"/>
  <c r="Q130" i="43"/>
  <c r="Q196" i="43"/>
  <c r="V196" i="43"/>
  <c r="K32" i="43"/>
  <c r="Z32" i="43"/>
  <c r="P32" i="43"/>
  <c r="Y32" i="43"/>
  <c r="U200" i="43"/>
  <c r="O200" i="43"/>
  <c r="L163" i="43"/>
  <c r="U169" i="43"/>
  <c r="O169" i="43"/>
  <c r="O105" i="43"/>
  <c r="U105" i="43"/>
  <c r="U131" i="43"/>
  <c r="O131" i="43"/>
  <c r="O97" i="43"/>
  <c r="U97" i="43"/>
  <c r="M82" i="43"/>
  <c r="AA82" i="43"/>
  <c r="R82" i="43"/>
  <c r="AB82" i="43" s="1"/>
  <c r="K19" i="43"/>
  <c r="Z19" i="43"/>
  <c r="P19" i="43"/>
  <c r="Y19" i="43"/>
  <c r="O168" i="43"/>
  <c r="U168" i="43"/>
  <c r="AB168" i="43"/>
  <c r="O145" i="43"/>
  <c r="U145" i="43"/>
  <c r="U194" i="43"/>
  <c r="O194" i="43"/>
  <c r="L86" i="43"/>
  <c r="P14" i="43"/>
  <c r="K14" i="43"/>
  <c r="Y14" i="43"/>
  <c r="Z14" i="43"/>
  <c r="L52" i="43"/>
  <c r="V148" i="43"/>
  <c r="Q148" i="43"/>
  <c r="Q136" i="43"/>
  <c r="V136" i="43"/>
  <c r="Q93" i="43"/>
  <c r="V93" i="43"/>
  <c r="Q62" i="43"/>
  <c r="V62" i="43"/>
  <c r="Q96" i="43"/>
  <c r="V96" i="43"/>
  <c r="Q120" i="43"/>
  <c r="V120" i="43"/>
  <c r="V79" i="43"/>
  <c r="Q79" i="43"/>
  <c r="Q189" i="43"/>
  <c r="V189" i="43"/>
  <c r="Q143" i="43"/>
  <c r="V143" i="43"/>
  <c r="V60" i="43"/>
  <c r="Q60" i="43"/>
  <c r="Q169" i="43"/>
  <c r="V169" i="43"/>
  <c r="Q42" i="43"/>
  <c r="V42" i="43"/>
  <c r="Q82" i="43"/>
  <c r="V82" i="43"/>
  <c r="V46" i="43"/>
  <c r="Q46" i="43"/>
  <c r="V153" i="43"/>
  <c r="Q153" i="43"/>
  <c r="Q78" i="43"/>
  <c r="V78" i="43"/>
  <c r="Q28" i="43"/>
  <c r="V28" i="43"/>
  <c r="Q65" i="43"/>
  <c r="V65" i="43"/>
  <c r="K210" i="43"/>
  <c r="Y210" i="43"/>
  <c r="P210" i="43"/>
  <c r="AB210" i="43" s="1"/>
  <c r="Z210" i="43"/>
  <c r="Y174" i="43"/>
  <c r="K174" i="43"/>
  <c r="Z174" i="43"/>
  <c r="P174" i="43"/>
  <c r="M150" i="43"/>
  <c r="AA150" i="43"/>
  <c r="R150" i="43"/>
  <c r="O100" i="43"/>
  <c r="U100" i="43"/>
  <c r="AA161" i="43"/>
  <c r="M161" i="43"/>
  <c r="R161" i="43"/>
  <c r="AA158" i="43"/>
  <c r="M158" i="43"/>
  <c r="R158" i="43"/>
  <c r="R204" i="43"/>
  <c r="AA204" i="43"/>
  <c r="M204" i="43"/>
  <c r="M140" i="43"/>
  <c r="R140" i="43"/>
  <c r="AA140" i="43"/>
  <c r="O192" i="43"/>
  <c r="U192" i="43"/>
  <c r="U159" i="43"/>
  <c r="O159" i="43"/>
  <c r="U110" i="43"/>
  <c r="O110" i="43"/>
  <c r="V108" i="43"/>
  <c r="Q108" i="43"/>
  <c r="M147" i="43"/>
  <c r="AA147" i="43"/>
  <c r="R147" i="43"/>
  <c r="AB147" i="43" s="1"/>
  <c r="O28" i="43"/>
  <c r="U28" i="43"/>
  <c r="AA70" i="43"/>
  <c r="M70" i="43"/>
  <c r="R70" i="43"/>
  <c r="AB70" i="43" s="1"/>
  <c r="K124" i="43"/>
  <c r="P124" i="43"/>
  <c r="Z124" i="43"/>
  <c r="Y124" i="43"/>
  <c r="O161" i="43"/>
  <c r="U161" i="43"/>
  <c r="O85" i="43"/>
  <c r="U85" i="43"/>
  <c r="O201" i="43"/>
  <c r="U201" i="43"/>
  <c r="AA84" i="43"/>
  <c r="R84" i="43"/>
  <c r="AB84" i="43" s="1"/>
  <c r="M84" i="43"/>
  <c r="O176" i="43"/>
  <c r="U176" i="43"/>
  <c r="AA104" i="43"/>
  <c r="R104" i="43"/>
  <c r="M104" i="43"/>
  <c r="O43" i="43"/>
  <c r="U43" i="43"/>
  <c r="K194" i="43"/>
  <c r="Y194" i="43"/>
  <c r="P194" i="43"/>
  <c r="Z194" i="43"/>
  <c r="Y15" i="43"/>
  <c r="K15" i="43"/>
  <c r="P15" i="43"/>
  <c r="Z15" i="43"/>
  <c r="K117" i="43"/>
  <c r="P117" i="43"/>
  <c r="Y117" i="43"/>
  <c r="Z117" i="43"/>
  <c r="K101" i="43"/>
  <c r="P101" i="43"/>
  <c r="Z101" i="43"/>
  <c r="Y101" i="43"/>
  <c r="Y61" i="43"/>
  <c r="P61" i="43"/>
  <c r="K61" i="43"/>
  <c r="Z61" i="43"/>
  <c r="Y17" i="43"/>
  <c r="K17" i="43"/>
  <c r="Z17" i="43"/>
  <c r="P17" i="43"/>
  <c r="M160" i="43"/>
  <c r="AA160" i="43"/>
  <c r="R160" i="43"/>
  <c r="M157" i="43"/>
  <c r="AA157" i="43"/>
  <c r="R157" i="43"/>
  <c r="AB157" i="43" s="1"/>
  <c r="O99" i="43"/>
  <c r="U99" i="43"/>
  <c r="M49" i="43"/>
  <c r="AA49" i="43"/>
  <c r="R49" i="43"/>
  <c r="AB49" i="43" s="1"/>
  <c r="O171" i="43"/>
  <c r="U171" i="43"/>
  <c r="K183" i="43"/>
  <c r="Y183" i="43"/>
  <c r="Z183" i="43"/>
  <c r="P183" i="43"/>
  <c r="Y53" i="43"/>
  <c r="K53" i="43"/>
  <c r="P53" i="43"/>
  <c r="Z53" i="43"/>
  <c r="AA191" i="43"/>
  <c r="M191" i="43"/>
  <c r="R191" i="43"/>
  <c r="AB191" i="43" s="1"/>
  <c r="U202" i="43"/>
  <c r="O202" i="43"/>
  <c r="L139" i="43"/>
  <c r="O74" i="43"/>
  <c r="U74" i="43"/>
  <c r="U57" i="43"/>
  <c r="O57" i="43"/>
  <c r="Z173" i="43"/>
  <c r="P173" i="43"/>
  <c r="Y173" i="43"/>
  <c r="K173" i="43"/>
  <c r="K35" i="43"/>
  <c r="Z35" i="43"/>
  <c r="Y35" i="43"/>
  <c r="P35" i="43"/>
  <c r="O166" i="43"/>
  <c r="U166" i="43"/>
  <c r="AA144" i="43"/>
  <c r="M144" i="43"/>
  <c r="R144" i="43"/>
  <c r="AB144" i="43" s="1"/>
  <c r="AA126" i="43"/>
  <c r="M126" i="43"/>
  <c r="R126" i="43"/>
  <c r="AB126" i="43" s="1"/>
  <c r="AA85" i="43"/>
  <c r="M85" i="43"/>
  <c r="R85" i="43"/>
  <c r="O66" i="43"/>
  <c r="U66" i="43"/>
  <c r="Z22" i="43"/>
  <c r="P22" i="43"/>
  <c r="Y22" i="43"/>
  <c r="K22" i="43"/>
  <c r="K75" i="43"/>
  <c r="Z75" i="43"/>
  <c r="Y75" i="43"/>
  <c r="P75" i="43"/>
  <c r="K54" i="43"/>
  <c r="Y54" i="43"/>
  <c r="Z54" i="43"/>
  <c r="P54" i="43"/>
  <c r="L183" i="43"/>
  <c r="U167" i="43"/>
  <c r="O167" i="43"/>
  <c r="O94" i="43"/>
  <c r="U94" i="43"/>
  <c r="Y25" i="43"/>
  <c r="K25" i="43"/>
  <c r="Z25" i="43"/>
  <c r="P25" i="43"/>
  <c r="U54" i="43"/>
  <c r="O54" i="43"/>
  <c r="Q49" i="43"/>
  <c r="V49" i="43"/>
  <c r="V98" i="43"/>
  <c r="Q98" i="43"/>
  <c r="V129" i="43"/>
  <c r="Q129" i="43"/>
  <c r="Y146" i="43"/>
  <c r="K146" i="43"/>
  <c r="Z146" i="43"/>
  <c r="P146" i="43"/>
  <c r="Y44" i="43"/>
  <c r="K44" i="43"/>
  <c r="Z44" i="43"/>
  <c r="P44" i="43"/>
  <c r="K31" i="43"/>
  <c r="Y31" i="43"/>
  <c r="P31" i="43"/>
  <c r="AB31" i="43" s="1"/>
  <c r="Z31" i="43"/>
  <c r="O154" i="43"/>
  <c r="U154" i="43"/>
  <c r="O143" i="43"/>
  <c r="U143" i="43"/>
  <c r="O112" i="43"/>
  <c r="U112" i="43"/>
  <c r="U107" i="43"/>
  <c r="O107" i="43"/>
  <c r="U60" i="43"/>
  <c r="O60" i="43"/>
  <c r="L56" i="43"/>
  <c r="L179" i="43"/>
  <c r="U29" i="43"/>
  <c r="O29" i="43"/>
  <c r="K200" i="43"/>
  <c r="Y200" i="43"/>
  <c r="P200" i="43"/>
  <c r="Z200" i="43"/>
  <c r="O203" i="43"/>
  <c r="U203" i="43"/>
  <c r="L200" i="43"/>
  <c r="O165" i="43"/>
  <c r="U165" i="43"/>
  <c r="K114" i="43"/>
  <c r="Y114" i="43"/>
  <c r="Z114" i="43"/>
  <c r="P114" i="43"/>
  <c r="U101" i="43"/>
  <c r="O101" i="43"/>
  <c r="O44" i="43"/>
  <c r="U44" i="43"/>
  <c r="L40" i="43"/>
  <c r="L19" i="43"/>
  <c r="V132" i="43"/>
  <c r="Q132" i="43"/>
  <c r="O207" i="43"/>
  <c r="U207" i="43"/>
  <c r="L177" i="43"/>
  <c r="L194" i="43"/>
  <c r="U111" i="43"/>
  <c r="O111" i="43"/>
  <c r="O87" i="43"/>
  <c r="U87" i="43"/>
  <c r="U53" i="43"/>
  <c r="O53" i="43"/>
  <c r="L16" i="43"/>
  <c r="L123" i="43"/>
  <c r="O52" i="43"/>
  <c r="U52" i="43"/>
  <c r="Q191" i="43"/>
  <c r="V191" i="43"/>
  <c r="V178" i="43"/>
  <c r="Q178" i="43"/>
  <c r="Q126" i="43"/>
  <c r="V126" i="43"/>
  <c r="Q45" i="43"/>
  <c r="V45" i="43"/>
  <c r="V48" i="43"/>
  <c r="Q48" i="43"/>
  <c r="Q84" i="43"/>
  <c r="V84" i="43"/>
  <c r="V77" i="43"/>
  <c r="Q77" i="43"/>
  <c r="Q199" i="43"/>
  <c r="V199" i="43"/>
  <c r="V206" i="43"/>
  <c r="Q206" i="43"/>
  <c r="Q187" i="43"/>
  <c r="V187" i="43"/>
  <c r="Q147" i="43"/>
  <c r="V147" i="43"/>
  <c r="Q70" i="43"/>
  <c r="V70" i="43"/>
  <c r="Y152" i="43"/>
  <c r="K152" i="43"/>
  <c r="Z152" i="43"/>
  <c r="P152" i="43"/>
  <c r="AA102" i="43"/>
  <c r="M102" i="43"/>
  <c r="R102" i="43"/>
  <c r="M198" i="43"/>
  <c r="AA198" i="43"/>
  <c r="R198" i="43"/>
  <c r="AB198" i="43" s="1"/>
  <c r="AA117" i="43"/>
  <c r="R117" i="43"/>
  <c r="M117" i="43"/>
  <c r="M33" i="43"/>
  <c r="AA33" i="43"/>
  <c r="R33" i="43"/>
  <c r="M38" i="43"/>
  <c r="AA38" i="43"/>
  <c r="R38" i="43"/>
  <c r="V109" i="43"/>
  <c r="Q109" i="43"/>
  <c r="O39" i="43"/>
  <c r="U39" i="43"/>
  <c r="L174" i="43"/>
  <c r="O30" i="43"/>
  <c r="U30" i="43"/>
  <c r="M73" i="43"/>
  <c r="AA73" i="43"/>
  <c r="R73" i="43"/>
  <c r="V155" i="43"/>
  <c r="Q155" i="43"/>
  <c r="V21" i="43"/>
  <c r="Q21" i="43"/>
  <c r="K142" i="43"/>
  <c r="Z142" i="43"/>
  <c r="Y142" i="43"/>
  <c r="P142" i="43"/>
  <c r="O180" i="43"/>
  <c r="U180" i="43"/>
  <c r="AB11" i="43"/>
  <c r="O11" i="43"/>
  <c r="U11" i="43"/>
  <c r="O181" i="43"/>
  <c r="U181" i="43"/>
  <c r="U134" i="43"/>
  <c r="O134" i="43"/>
  <c r="AA128" i="43"/>
  <c r="M128" i="43"/>
  <c r="R128" i="43"/>
  <c r="AB128" i="43" s="1"/>
  <c r="K116" i="43"/>
  <c r="P116" i="43"/>
  <c r="AB116" i="43" s="1"/>
  <c r="Z116" i="43"/>
  <c r="Y116" i="43"/>
  <c r="M83" i="43"/>
  <c r="AA83" i="43"/>
  <c r="R83" i="43"/>
  <c r="M44" i="43"/>
  <c r="AA44" i="43"/>
  <c r="R44" i="43"/>
  <c r="U32" i="43"/>
  <c r="O32" i="43"/>
  <c r="M211" i="43"/>
  <c r="AA211" i="43"/>
  <c r="R211" i="43"/>
  <c r="Y115" i="43"/>
  <c r="K115" i="43"/>
  <c r="Z115" i="43"/>
  <c r="P115" i="43"/>
  <c r="AB115" i="43" s="1"/>
  <c r="U157" i="43"/>
  <c r="O157" i="43"/>
  <c r="U147" i="43"/>
  <c r="O147" i="43"/>
  <c r="AA108" i="43"/>
  <c r="R108" i="43"/>
  <c r="AB108" i="43" s="1"/>
  <c r="M108" i="43"/>
  <c r="O17" i="43"/>
  <c r="U17" i="43"/>
  <c r="O77" i="43"/>
  <c r="U77" i="43"/>
  <c r="K159" i="43"/>
  <c r="Y159" i="43"/>
  <c r="P159" i="43"/>
  <c r="AB159" i="43" s="1"/>
  <c r="Z159" i="43"/>
  <c r="Y106" i="43"/>
  <c r="K106" i="43"/>
  <c r="P106" i="43"/>
  <c r="AB106" i="43" s="1"/>
  <c r="Z106" i="43"/>
  <c r="AA202" i="43"/>
  <c r="M202" i="43"/>
  <c r="R202" i="43"/>
  <c r="AB155" i="43"/>
  <c r="U155" i="43"/>
  <c r="O155" i="43"/>
  <c r="U150" i="43"/>
  <c r="O150" i="43"/>
  <c r="O93" i="43"/>
  <c r="U93" i="43"/>
  <c r="AA100" i="43"/>
  <c r="M100" i="43"/>
  <c r="R100" i="43"/>
  <c r="M57" i="43"/>
  <c r="AA57" i="43"/>
  <c r="R57" i="43"/>
  <c r="AB57" i="43" s="1"/>
  <c r="Y20" i="43"/>
  <c r="K20" i="43"/>
  <c r="Z20" i="43"/>
  <c r="P20" i="43"/>
  <c r="L208" i="43"/>
  <c r="O81" i="43"/>
  <c r="U81" i="43"/>
  <c r="K145" i="43"/>
  <c r="P145" i="43"/>
  <c r="Z145" i="43"/>
  <c r="Y145" i="43"/>
  <c r="Z112" i="43"/>
  <c r="Y112" i="43"/>
  <c r="K112" i="43"/>
  <c r="P112" i="43"/>
  <c r="O173" i="43"/>
  <c r="U173" i="43"/>
  <c r="Y188" i="43"/>
  <c r="K188" i="43"/>
  <c r="Z188" i="43"/>
  <c r="P188" i="43"/>
  <c r="U144" i="43"/>
  <c r="O144" i="43"/>
  <c r="O118" i="43"/>
  <c r="U118" i="43"/>
  <c r="M66" i="43"/>
  <c r="AA66" i="43"/>
  <c r="R66" i="43"/>
  <c r="AB66" i="43" s="1"/>
  <c r="O46" i="43"/>
  <c r="U46" i="43"/>
  <c r="U62" i="43"/>
  <c r="O62" i="43"/>
  <c r="U156" i="43"/>
  <c r="O156" i="43"/>
  <c r="O103" i="43"/>
  <c r="U103" i="43"/>
  <c r="K162" i="43"/>
  <c r="Y162" i="43"/>
  <c r="Z162" i="43"/>
  <c r="P162" i="43"/>
  <c r="Y111" i="43"/>
  <c r="K111" i="43"/>
  <c r="Z111" i="43"/>
  <c r="P111" i="43"/>
  <c r="M197" i="43"/>
  <c r="AA197" i="43"/>
  <c r="R197" i="43"/>
  <c r="AB197" i="43" s="1"/>
  <c r="O184" i="43"/>
  <c r="U184" i="43"/>
  <c r="O120" i="43"/>
  <c r="U120" i="43"/>
  <c r="AA75" i="43"/>
  <c r="R75" i="43"/>
  <c r="M75" i="43"/>
  <c r="O25" i="43"/>
  <c r="U25" i="43"/>
  <c r="O146" i="43"/>
  <c r="AB146" i="43"/>
  <c r="U146" i="43"/>
  <c r="K73" i="43"/>
  <c r="Y73" i="43"/>
  <c r="P73" i="43"/>
  <c r="Z73" i="43"/>
  <c r="AA154" i="43"/>
  <c r="M154" i="43"/>
  <c r="R154" i="43"/>
  <c r="P125" i="43"/>
  <c r="K125" i="43"/>
  <c r="Y125" i="43"/>
  <c r="Z125" i="43"/>
  <c r="L112" i="43"/>
  <c r="U127" i="43"/>
  <c r="AB127" i="43"/>
  <c r="O127" i="43"/>
  <c r="AA80" i="43"/>
  <c r="M80" i="43"/>
  <c r="R80" i="43"/>
  <c r="AB80" i="43" s="1"/>
  <c r="L90" i="43"/>
  <c r="Q209" i="43"/>
  <c r="V209" i="43"/>
  <c r="O179" i="43"/>
  <c r="U179" i="43"/>
  <c r="Y69" i="43"/>
  <c r="K69" i="43"/>
  <c r="P69" i="43"/>
  <c r="Z69" i="43"/>
  <c r="R196" i="43"/>
  <c r="AA196" i="43"/>
  <c r="M196" i="43"/>
  <c r="M165" i="43"/>
  <c r="AA165" i="43"/>
  <c r="R165" i="43"/>
  <c r="AB165" i="43" s="1"/>
  <c r="AA169" i="43"/>
  <c r="R169" i="43"/>
  <c r="AB169" i="43" s="1"/>
  <c r="M169" i="43"/>
  <c r="AA109" i="43"/>
  <c r="M109" i="43"/>
  <c r="R109" i="43"/>
  <c r="AB109" i="43" s="1"/>
  <c r="L101" i="43"/>
  <c r="O71" i="43"/>
  <c r="U71" i="43"/>
  <c r="O79" i="43"/>
  <c r="U79" i="43"/>
  <c r="U106" i="43"/>
  <c r="O106" i="43"/>
  <c r="M195" i="43"/>
  <c r="AA195" i="43"/>
  <c r="R195" i="43"/>
  <c r="L145" i="43"/>
  <c r="L124" i="43"/>
  <c r="M87" i="43"/>
  <c r="AA87" i="43"/>
  <c r="R87" i="43"/>
  <c r="AB87" i="43" s="1"/>
  <c r="O61" i="43"/>
  <c r="U61" i="43"/>
  <c r="L35" i="43"/>
  <c r="L23" i="43"/>
  <c r="O14" i="43"/>
  <c r="U14" i="43"/>
  <c r="AA13" i="43"/>
  <c r="M13" i="43"/>
  <c r="R13" i="43"/>
  <c r="U123" i="43"/>
  <c r="O123" i="43"/>
  <c r="Q118" i="43"/>
  <c r="V118" i="43"/>
  <c r="V76" i="43"/>
  <c r="Q76" i="43"/>
  <c r="V113" i="43"/>
  <c r="Q113" i="43"/>
  <c r="K34" i="43"/>
  <c r="Z34" i="43"/>
  <c r="Y34" i="43"/>
  <c r="P34" i="43"/>
  <c r="AB34" i="43" s="1"/>
  <c r="AA28" i="43"/>
  <c r="M28" i="43"/>
  <c r="R28" i="43"/>
  <c r="M182" i="43"/>
  <c r="AA182" i="43"/>
  <c r="R182" i="43"/>
  <c r="M209" i="43"/>
  <c r="AA209" i="43"/>
  <c r="R209" i="43"/>
  <c r="AB209" i="43" s="1"/>
  <c r="K59" i="43"/>
  <c r="Y59" i="43"/>
  <c r="Z59" i="43"/>
  <c r="P59" i="43"/>
  <c r="M91" i="43"/>
  <c r="AA91" i="43"/>
  <c r="R91" i="43"/>
  <c r="AB91" i="43" s="1"/>
  <c r="U45" i="43"/>
  <c r="O45" i="43"/>
  <c r="AA47" i="43"/>
  <c r="M47" i="43"/>
  <c r="R47" i="43"/>
  <c r="M43" i="43"/>
  <c r="AA43" i="43"/>
  <c r="R43" i="43"/>
  <c r="O12" i="43"/>
  <c r="U12" i="43"/>
  <c r="V100" i="43"/>
  <c r="Q100" i="43"/>
  <c r="Q103" i="43"/>
  <c r="V103" i="43"/>
  <c r="Q72" i="43"/>
  <c r="V72" i="43"/>
  <c r="AA171" i="43"/>
  <c r="M171" i="43"/>
  <c r="R171" i="43"/>
  <c r="O92" i="43"/>
  <c r="U92" i="43"/>
  <c r="K38" i="43"/>
  <c r="Y38" i="43"/>
  <c r="P38" i="43"/>
  <c r="Z38" i="43"/>
  <c r="U178" i="43"/>
  <c r="O178" i="43"/>
  <c r="M54" i="43"/>
  <c r="AA54" i="43"/>
  <c r="R54" i="43"/>
  <c r="M29" i="43"/>
  <c r="AA29" i="43"/>
  <c r="R29" i="43"/>
  <c r="AA207" i="43"/>
  <c r="M207" i="43"/>
  <c r="R207" i="43"/>
  <c r="AB207" i="43" s="1"/>
  <c r="Y133" i="43"/>
  <c r="P133" i="43"/>
  <c r="K133" i="43"/>
  <c r="Z133" i="43"/>
  <c r="AA199" i="43"/>
  <c r="M199" i="43"/>
  <c r="R199" i="43"/>
  <c r="AB199" i="43" s="1"/>
  <c r="M99" i="43"/>
  <c r="AA99" i="43"/>
  <c r="R99" i="43"/>
  <c r="O78" i="43"/>
  <c r="U78" i="43"/>
  <c r="O49" i="43"/>
  <c r="U49" i="43"/>
  <c r="Y105" i="43"/>
  <c r="P105" i="43"/>
  <c r="K105" i="43"/>
  <c r="Z105" i="43"/>
  <c r="K134" i="43"/>
  <c r="Y134" i="43"/>
  <c r="P134" i="43"/>
  <c r="Z134" i="43"/>
  <c r="Y171" i="43"/>
  <c r="K171" i="43"/>
  <c r="P171" i="43"/>
  <c r="Z171" i="43"/>
  <c r="O199" i="43"/>
  <c r="U199" i="43"/>
  <c r="O160" i="43"/>
  <c r="U160" i="43"/>
  <c r="AB160" i="43"/>
  <c r="M172" i="43"/>
  <c r="AA172" i="43"/>
  <c r="R172" i="43"/>
  <c r="U98" i="43"/>
  <c r="O98" i="43"/>
  <c r="AB98" i="43"/>
  <c r="AA50" i="43"/>
  <c r="R50" i="43"/>
  <c r="AB50" i="43" s="1"/>
  <c r="M50" i="43"/>
  <c r="M21" i="43"/>
  <c r="AA21" i="43"/>
  <c r="R21" i="43"/>
  <c r="AA77" i="43"/>
  <c r="M77" i="43"/>
  <c r="R77" i="43"/>
  <c r="AB77" i="43" s="1"/>
  <c r="K37" i="43"/>
  <c r="Y37" i="43"/>
  <c r="P37" i="43"/>
  <c r="AB37" i="43" s="1"/>
  <c r="Z37" i="43"/>
  <c r="K71" i="43"/>
  <c r="Y71" i="43"/>
  <c r="Z71" i="43"/>
  <c r="P71" i="43"/>
  <c r="AB71" i="43" s="1"/>
  <c r="Y193" i="43"/>
  <c r="P193" i="43"/>
  <c r="AB193" i="43" s="1"/>
  <c r="K193" i="43"/>
  <c r="Z193" i="43"/>
  <c r="M122" i="43"/>
  <c r="AA122" i="43"/>
  <c r="R122" i="43"/>
  <c r="AB122" i="43" s="1"/>
  <c r="Y41" i="43"/>
  <c r="K41" i="43"/>
  <c r="Z41" i="43"/>
  <c r="P41" i="43"/>
  <c r="O20" i="43"/>
  <c r="U20" i="43"/>
  <c r="U48" i="43"/>
  <c r="O48" i="43"/>
  <c r="K167" i="43"/>
  <c r="Y167" i="43"/>
  <c r="P167" i="43"/>
  <c r="Z167" i="43"/>
  <c r="K43" i="43"/>
  <c r="Z43" i="43"/>
  <c r="Y43" i="43"/>
  <c r="P43" i="43"/>
  <c r="M205" i="43"/>
  <c r="AA205" i="43"/>
  <c r="R205" i="43"/>
  <c r="O188" i="43"/>
  <c r="U188" i="43"/>
  <c r="K149" i="43"/>
  <c r="Y149" i="43"/>
  <c r="P149" i="43"/>
  <c r="AB149" i="43" s="1"/>
  <c r="Z149" i="43"/>
  <c r="L137" i="43"/>
  <c r="AA118" i="43"/>
  <c r="M118" i="43"/>
  <c r="R118" i="43"/>
  <c r="AB118" i="43" s="1"/>
  <c r="M76" i="43"/>
  <c r="AA76" i="43"/>
  <c r="R76" i="43"/>
  <c r="V30" i="43"/>
  <c r="Q30" i="43"/>
  <c r="V24" i="43"/>
  <c r="Q24" i="43"/>
  <c r="Q87" i="43"/>
  <c r="V87" i="43"/>
  <c r="M156" i="43"/>
  <c r="AA156" i="43"/>
  <c r="R156" i="43"/>
  <c r="K67" i="43"/>
  <c r="Z67" i="43"/>
  <c r="Y67" i="43"/>
  <c r="P67" i="43"/>
  <c r="K184" i="43"/>
  <c r="Y184" i="43"/>
  <c r="Z184" i="43"/>
  <c r="P184" i="43"/>
  <c r="AB184" i="43" s="1"/>
  <c r="U183" i="43"/>
  <c r="O183" i="43"/>
  <c r="O151" i="43"/>
  <c r="U151" i="43"/>
  <c r="R120" i="43"/>
  <c r="AB120" i="43" s="1"/>
  <c r="AA120" i="43"/>
  <c r="M120" i="43"/>
  <c r="U116" i="43"/>
  <c r="O116" i="43"/>
  <c r="L88" i="43"/>
  <c r="U95" i="43"/>
  <c r="O95" i="43"/>
  <c r="L25" i="43"/>
  <c r="Y12" i="43"/>
  <c r="Z12" i="43"/>
  <c r="K12" i="43"/>
  <c r="P12" i="43"/>
  <c r="AB12" i="43" s="1"/>
  <c r="Y186" i="43"/>
  <c r="K186" i="43"/>
  <c r="P186" i="43"/>
  <c r="Z186" i="43"/>
  <c r="O193" i="43"/>
  <c r="U193" i="43"/>
  <c r="L125" i="43"/>
  <c r="O80" i="43"/>
  <c r="U80" i="43"/>
  <c r="L67" i="43"/>
  <c r="L59" i="43"/>
  <c r="Z140" i="43"/>
  <c r="Y140" i="43"/>
  <c r="K140" i="43"/>
  <c r="P140" i="43"/>
  <c r="O109" i="43"/>
  <c r="U109" i="43"/>
  <c r="U142" i="43"/>
  <c r="O142" i="43"/>
  <c r="L114" i="43"/>
  <c r="L69" i="43"/>
  <c r="U82" i="43"/>
  <c r="O82" i="43"/>
  <c r="L32" i="43"/>
  <c r="U19" i="43"/>
  <c r="O19" i="43"/>
  <c r="L170" i="43"/>
  <c r="L138" i="43"/>
  <c r="U124" i="43"/>
  <c r="O124" i="43"/>
  <c r="L63" i="43"/>
  <c r="K13" i="43"/>
  <c r="Z13" i="43"/>
  <c r="Y13" i="43"/>
  <c r="P13" i="43"/>
  <c r="V68" i="43"/>
  <c r="Q68" i="43"/>
  <c r="O211" i="43"/>
  <c r="U211" i="43"/>
  <c r="AB182" i="43" l="1"/>
  <c r="AB211" i="43"/>
  <c r="AB44" i="43"/>
  <c r="AB61" i="43"/>
  <c r="AB13" i="43"/>
  <c r="AC13" i="43" s="1"/>
  <c r="AD13" i="43" s="1"/>
  <c r="AB161" i="43"/>
  <c r="AE161" i="43" s="1"/>
  <c r="AB111" i="43"/>
  <c r="AC111" i="43" s="1"/>
  <c r="AD111" i="43" s="1"/>
  <c r="AB41" i="43"/>
  <c r="AE41" i="43" s="1"/>
  <c r="AB43" i="43"/>
  <c r="AE43" i="43" s="1"/>
  <c r="AB171" i="43"/>
  <c r="AE171" i="43" s="1"/>
  <c r="AB188" i="43"/>
  <c r="AE188" i="43" s="1"/>
  <c r="AB134" i="43"/>
  <c r="AE134" i="43" s="1"/>
  <c r="AB73" i="43"/>
  <c r="AC73" i="43" s="1"/>
  <c r="AD73" i="43" s="1"/>
  <c r="AB204" i="43"/>
  <c r="AC204" i="43" s="1"/>
  <c r="AD204" i="43" s="1"/>
  <c r="AB83" i="43"/>
  <c r="AE83" i="43" s="1"/>
  <c r="AB150" i="43"/>
  <c r="AC150" i="43" s="1"/>
  <c r="AD150" i="43" s="1"/>
  <c r="AB117" i="43"/>
  <c r="AE117" i="43" s="1"/>
  <c r="AE180" i="43"/>
  <c r="AC180" i="43"/>
  <c r="AD180" i="43" s="1"/>
  <c r="AE184" i="43"/>
  <c r="AC184" i="43"/>
  <c r="AD184" i="43" s="1"/>
  <c r="AE66" i="43"/>
  <c r="AC66" i="43"/>
  <c r="AD66" i="43" s="1"/>
  <c r="AE84" i="43"/>
  <c r="AC84" i="43"/>
  <c r="AD84" i="43" s="1"/>
  <c r="AE129" i="43"/>
  <c r="AC129" i="43"/>
  <c r="AD129" i="43" s="1"/>
  <c r="AC79" i="43"/>
  <c r="AD79" i="43" s="1"/>
  <c r="AE79" i="43"/>
  <c r="AE50" i="43"/>
  <c r="AC50" i="43"/>
  <c r="AD50" i="43" s="1"/>
  <c r="AE198" i="43"/>
  <c r="AC198" i="43"/>
  <c r="AD198" i="43" s="1"/>
  <c r="AE206" i="43"/>
  <c r="AC206" i="43"/>
  <c r="AD206" i="43" s="1"/>
  <c r="AE31" i="43"/>
  <c r="AC31" i="43"/>
  <c r="AD31" i="43" s="1"/>
  <c r="AC157" i="43"/>
  <c r="AD157" i="43" s="1"/>
  <c r="AE157" i="43"/>
  <c r="AC68" i="43"/>
  <c r="AD68" i="43" s="1"/>
  <c r="AE68" i="43"/>
  <c r="AE136" i="43"/>
  <c r="AC136" i="43"/>
  <c r="AD136" i="43" s="1"/>
  <c r="AC169" i="43"/>
  <c r="AD169" i="43" s="1"/>
  <c r="AE169" i="43"/>
  <c r="AC197" i="43"/>
  <c r="AD197" i="43" s="1"/>
  <c r="AE197" i="43"/>
  <c r="AC210" i="43"/>
  <c r="AD210" i="43" s="1"/>
  <c r="AE210" i="43"/>
  <c r="AC65" i="43"/>
  <c r="AD65" i="43" s="1"/>
  <c r="AE65" i="43"/>
  <c r="AE78" i="43"/>
  <c r="AC78" i="43"/>
  <c r="AD78" i="43" s="1"/>
  <c r="AE118" i="43"/>
  <c r="AC118" i="43"/>
  <c r="AD118" i="43" s="1"/>
  <c r="AC159" i="43"/>
  <c r="AD159" i="43" s="1"/>
  <c r="AE159" i="43"/>
  <c r="AC115" i="43"/>
  <c r="AD115" i="43" s="1"/>
  <c r="AE115" i="43"/>
  <c r="AC60" i="43"/>
  <c r="AD60" i="43" s="1"/>
  <c r="AE60" i="43"/>
  <c r="AC18" i="43"/>
  <c r="AD18" i="43" s="1"/>
  <c r="AE18" i="43"/>
  <c r="AE207" i="43"/>
  <c r="AC207" i="43"/>
  <c r="AD207" i="43" s="1"/>
  <c r="AE44" i="43"/>
  <c r="AC44" i="43"/>
  <c r="AD44" i="43" s="1"/>
  <c r="AC126" i="43"/>
  <c r="AD126" i="43" s="1"/>
  <c r="AE126" i="43"/>
  <c r="AE49" i="43"/>
  <c r="AC49" i="43"/>
  <c r="AD49" i="43" s="1"/>
  <c r="AE191" i="43"/>
  <c r="AC191" i="43"/>
  <c r="AD191" i="43" s="1"/>
  <c r="AC37" i="43"/>
  <c r="AD37" i="43" s="1"/>
  <c r="AE37" i="43"/>
  <c r="AE87" i="43"/>
  <c r="AC87" i="43"/>
  <c r="AD87" i="43" s="1"/>
  <c r="V186" i="43"/>
  <c r="Q186" i="43"/>
  <c r="W156" i="43"/>
  <c r="S156" i="43"/>
  <c r="AC127" i="43"/>
  <c r="AD127" i="43" s="1"/>
  <c r="AE127" i="43"/>
  <c r="V142" i="43"/>
  <c r="Q142" i="43"/>
  <c r="AE189" i="43"/>
  <c r="AC189" i="43"/>
  <c r="AD189" i="43" s="1"/>
  <c r="W36" i="43"/>
  <c r="S36" i="43"/>
  <c r="V140" i="43"/>
  <c r="Q140" i="43"/>
  <c r="V105" i="43"/>
  <c r="Q105" i="43"/>
  <c r="W54" i="43"/>
  <c r="S54" i="43"/>
  <c r="AE71" i="43"/>
  <c r="AC71" i="43"/>
  <c r="AD71" i="43" s="1"/>
  <c r="AE103" i="43"/>
  <c r="AC103" i="43"/>
  <c r="AD103" i="43" s="1"/>
  <c r="V35" i="43"/>
  <c r="Q35" i="43"/>
  <c r="AA131" i="43"/>
  <c r="M131" i="43"/>
  <c r="R131" i="43"/>
  <c r="Q163" i="43"/>
  <c r="V163" i="43"/>
  <c r="M32" i="43"/>
  <c r="AA32" i="43"/>
  <c r="R32" i="43"/>
  <c r="AA59" i="43"/>
  <c r="M59" i="43"/>
  <c r="R59" i="43"/>
  <c r="AB59" i="43" s="1"/>
  <c r="AC116" i="43"/>
  <c r="AD116" i="43" s="1"/>
  <c r="AE116" i="43"/>
  <c r="W21" i="43"/>
  <c r="S21" i="43"/>
  <c r="AC178" i="43"/>
  <c r="AD178" i="43" s="1"/>
  <c r="AE178" i="43"/>
  <c r="AC92" i="43"/>
  <c r="AD92" i="43" s="1"/>
  <c r="AE92" i="43"/>
  <c r="S47" i="43"/>
  <c r="W47" i="43"/>
  <c r="W182" i="43"/>
  <c r="S182" i="43"/>
  <c r="W109" i="43"/>
  <c r="S109" i="43"/>
  <c r="V125" i="43"/>
  <c r="Q125" i="43"/>
  <c r="M174" i="43"/>
  <c r="AA174" i="43"/>
  <c r="R174" i="43"/>
  <c r="AB174" i="43" s="1"/>
  <c r="AA177" i="43"/>
  <c r="R177" i="43"/>
  <c r="M177" i="43"/>
  <c r="M179" i="43"/>
  <c r="AA179" i="43"/>
  <c r="R179" i="43"/>
  <c r="M183" i="43"/>
  <c r="AA183" i="43"/>
  <c r="R183" i="43"/>
  <c r="W85" i="43"/>
  <c r="S85" i="43"/>
  <c r="Q17" i="43"/>
  <c r="V17" i="43"/>
  <c r="AB85" i="43"/>
  <c r="M86" i="43"/>
  <c r="AA86" i="43"/>
  <c r="R86" i="43"/>
  <c r="AB86" i="43" s="1"/>
  <c r="AB105" i="43"/>
  <c r="M95" i="43"/>
  <c r="AA95" i="43"/>
  <c r="R95" i="43"/>
  <c r="AE113" i="43"/>
  <c r="AC113" i="43"/>
  <c r="AD113" i="43" s="1"/>
  <c r="V90" i="43"/>
  <c r="Q90" i="43"/>
  <c r="V40" i="43"/>
  <c r="Q40" i="43"/>
  <c r="W133" i="43"/>
  <c r="S133" i="43"/>
  <c r="S187" i="43"/>
  <c r="W187" i="43"/>
  <c r="AB140" i="43"/>
  <c r="AA121" i="43"/>
  <c r="M121" i="43"/>
  <c r="R121" i="43"/>
  <c r="V170" i="43"/>
  <c r="Q170" i="43"/>
  <c r="Q86" i="43"/>
  <c r="V86" i="43"/>
  <c r="W148" i="43"/>
  <c r="S148" i="43"/>
  <c r="AC153" i="43"/>
  <c r="AD153" i="43" s="1"/>
  <c r="AE153" i="43"/>
  <c r="Q164" i="43"/>
  <c r="V164" i="43"/>
  <c r="Q141" i="43"/>
  <c r="V141" i="43"/>
  <c r="W94" i="43"/>
  <c r="S94" i="43"/>
  <c r="W146" i="43"/>
  <c r="S146" i="43"/>
  <c r="S45" i="43"/>
  <c r="W45" i="43"/>
  <c r="S24" i="43"/>
  <c r="W24" i="43"/>
  <c r="Q16" i="43"/>
  <c r="V16" i="43"/>
  <c r="S81" i="43"/>
  <c r="W81" i="43"/>
  <c r="W72" i="43"/>
  <c r="S72" i="43"/>
  <c r="V192" i="43"/>
  <c r="Q192" i="43"/>
  <c r="S134" i="43"/>
  <c r="W134" i="43"/>
  <c r="S53" i="43"/>
  <c r="W53" i="43"/>
  <c r="W176" i="43"/>
  <c r="S176" i="43"/>
  <c r="AC82" i="43"/>
  <c r="AD82" i="43" s="1"/>
  <c r="AE82" i="43"/>
  <c r="AA67" i="43"/>
  <c r="R67" i="43"/>
  <c r="M67" i="43"/>
  <c r="M25" i="43"/>
  <c r="AA25" i="43"/>
  <c r="R25" i="43"/>
  <c r="M137" i="43"/>
  <c r="AA137" i="43"/>
  <c r="R137" i="43"/>
  <c r="AB137" i="43" s="1"/>
  <c r="S205" i="43"/>
  <c r="W205" i="43"/>
  <c r="V167" i="43"/>
  <c r="Q167" i="43"/>
  <c r="W172" i="43"/>
  <c r="S172" i="43"/>
  <c r="S29" i="43"/>
  <c r="W29" i="43"/>
  <c r="W171" i="43"/>
  <c r="S171" i="43"/>
  <c r="Q59" i="43"/>
  <c r="V59" i="43"/>
  <c r="AA23" i="43"/>
  <c r="M23" i="43"/>
  <c r="R23" i="43"/>
  <c r="M124" i="43"/>
  <c r="AA124" i="43"/>
  <c r="R124" i="43"/>
  <c r="W154" i="43"/>
  <c r="S154" i="43"/>
  <c r="AE146" i="43"/>
  <c r="AC146" i="43"/>
  <c r="AD146" i="43" s="1"/>
  <c r="M208" i="43"/>
  <c r="AA208" i="43"/>
  <c r="R208" i="43"/>
  <c r="S100" i="43"/>
  <c r="W100" i="43"/>
  <c r="Q106" i="43"/>
  <c r="V106" i="43"/>
  <c r="W44" i="43"/>
  <c r="S44" i="43"/>
  <c r="V116" i="43"/>
  <c r="Q116" i="43"/>
  <c r="AE181" i="43"/>
  <c r="AC181" i="43"/>
  <c r="AD181" i="43" s="1"/>
  <c r="AE39" i="43"/>
  <c r="AC39" i="43"/>
  <c r="AD39" i="43" s="1"/>
  <c r="W33" i="43"/>
  <c r="S33" i="43"/>
  <c r="AA56" i="43"/>
  <c r="M56" i="43"/>
  <c r="R56" i="43"/>
  <c r="AB56" i="43" s="1"/>
  <c r="Q146" i="43"/>
  <c r="V146" i="43"/>
  <c r="V54" i="43"/>
  <c r="Q54" i="43"/>
  <c r="AE166" i="43"/>
  <c r="AC166" i="43"/>
  <c r="AD166" i="43" s="1"/>
  <c r="Q15" i="43"/>
  <c r="V15" i="43"/>
  <c r="S70" i="43"/>
  <c r="W70" i="43"/>
  <c r="AB47" i="43"/>
  <c r="W173" i="43"/>
  <c r="S173" i="43"/>
  <c r="V139" i="43"/>
  <c r="Q139" i="43"/>
  <c r="V181" i="43"/>
  <c r="Q181" i="43"/>
  <c r="Q185" i="43"/>
  <c r="V185" i="43"/>
  <c r="S92" i="43"/>
  <c r="W92" i="43"/>
  <c r="AE135" i="43"/>
  <c r="AC135" i="43"/>
  <c r="AD135" i="43" s="1"/>
  <c r="AB33" i="43"/>
  <c r="W178" i="43"/>
  <c r="S178" i="43"/>
  <c r="W136" i="43"/>
  <c r="S136" i="43"/>
  <c r="AC96" i="43"/>
  <c r="AD96" i="43" s="1"/>
  <c r="AE96" i="43"/>
  <c r="AE130" i="43"/>
  <c r="AC130" i="43"/>
  <c r="AD130" i="43" s="1"/>
  <c r="W181" i="43"/>
  <c r="S181" i="43"/>
  <c r="Q207" i="43"/>
  <c r="V207" i="43"/>
  <c r="M151" i="43"/>
  <c r="R151" i="43"/>
  <c r="AA151" i="43"/>
  <c r="Q123" i="43"/>
  <c r="V123" i="43"/>
  <c r="S149" i="43"/>
  <c r="W149" i="43"/>
  <c r="V58" i="43"/>
  <c r="Q58" i="43"/>
  <c r="Q137" i="43"/>
  <c r="V137" i="43"/>
  <c r="AA26" i="43"/>
  <c r="R26" i="43"/>
  <c r="M26" i="43"/>
  <c r="S175" i="43"/>
  <c r="W175" i="43"/>
  <c r="S167" i="43"/>
  <c r="W167" i="43"/>
  <c r="W61" i="43"/>
  <c r="S61" i="43"/>
  <c r="S111" i="43"/>
  <c r="W111" i="43"/>
  <c r="M145" i="43"/>
  <c r="AA145" i="43"/>
  <c r="R145" i="43"/>
  <c r="AB145" i="43" s="1"/>
  <c r="AE120" i="43"/>
  <c r="AC120" i="43"/>
  <c r="AD120" i="43" s="1"/>
  <c r="AC147" i="43"/>
  <c r="AD147" i="43" s="1"/>
  <c r="AE147" i="43"/>
  <c r="Q31" i="43"/>
  <c r="V31" i="43"/>
  <c r="Q173" i="43"/>
  <c r="V173" i="43"/>
  <c r="V101" i="43"/>
  <c r="Q101" i="43"/>
  <c r="M203" i="43"/>
  <c r="AA203" i="43"/>
  <c r="R203" i="43"/>
  <c r="W201" i="43"/>
  <c r="S201" i="43"/>
  <c r="AE149" i="43"/>
  <c r="AC149" i="43"/>
  <c r="AD149" i="43" s="1"/>
  <c r="V89" i="43"/>
  <c r="Q89" i="43"/>
  <c r="S180" i="43"/>
  <c r="W180" i="43"/>
  <c r="W14" i="43"/>
  <c r="S14" i="43"/>
  <c r="S48" i="43"/>
  <c r="W48" i="43"/>
  <c r="V52" i="43"/>
  <c r="Q52" i="43"/>
  <c r="Q138" i="43"/>
  <c r="V138" i="43"/>
  <c r="AC190" i="43"/>
  <c r="AD190" i="43" s="1"/>
  <c r="AE190" i="43"/>
  <c r="AC122" i="43"/>
  <c r="AD122" i="43" s="1"/>
  <c r="AE122" i="43"/>
  <c r="AE148" i="43"/>
  <c r="AC148" i="43"/>
  <c r="AD148" i="43" s="1"/>
  <c r="AE27" i="43"/>
  <c r="AC27" i="43"/>
  <c r="AD27" i="43" s="1"/>
  <c r="V208" i="43"/>
  <c r="Q208" i="43"/>
  <c r="AE34" i="43"/>
  <c r="AC34" i="43"/>
  <c r="AD34" i="43" s="1"/>
  <c r="W188" i="43"/>
  <c r="S188" i="43"/>
  <c r="W17" i="43"/>
  <c r="S17" i="43"/>
  <c r="S142" i="43"/>
  <c r="W142" i="43"/>
  <c r="S152" i="43"/>
  <c r="W152" i="43"/>
  <c r="S164" i="43"/>
  <c r="W164" i="43"/>
  <c r="Q13" i="43"/>
  <c r="V13" i="43"/>
  <c r="M138" i="43"/>
  <c r="R138" i="43"/>
  <c r="AB138" i="43" s="1"/>
  <c r="AA138" i="43"/>
  <c r="W120" i="43"/>
  <c r="S120" i="43"/>
  <c r="S76" i="43"/>
  <c r="W76" i="43"/>
  <c r="Q149" i="43"/>
  <c r="V149" i="43"/>
  <c r="Q193" i="43"/>
  <c r="V193" i="43"/>
  <c r="Q171" i="43"/>
  <c r="V171" i="43"/>
  <c r="V38" i="43"/>
  <c r="Q38" i="43"/>
  <c r="W28" i="43"/>
  <c r="S28" i="43"/>
  <c r="S13" i="43"/>
  <c r="W13" i="43"/>
  <c r="AE61" i="43"/>
  <c r="AC61" i="43"/>
  <c r="AD61" i="43" s="1"/>
  <c r="W195" i="43"/>
  <c r="S195" i="43"/>
  <c r="W196" i="43"/>
  <c r="S196" i="43"/>
  <c r="AE46" i="43"/>
  <c r="AC46" i="43"/>
  <c r="AD46" i="43" s="1"/>
  <c r="AB173" i="43"/>
  <c r="AB17" i="43"/>
  <c r="W211" i="43"/>
  <c r="S211" i="43"/>
  <c r="W128" i="43"/>
  <c r="S128" i="43"/>
  <c r="AE143" i="43"/>
  <c r="AC143" i="43"/>
  <c r="AD143" i="43" s="1"/>
  <c r="Q22" i="43"/>
  <c r="V22" i="43"/>
  <c r="S126" i="43"/>
  <c r="W126" i="43"/>
  <c r="S158" i="43"/>
  <c r="W158" i="43"/>
  <c r="AB100" i="43"/>
  <c r="AA52" i="43"/>
  <c r="M52" i="43"/>
  <c r="R52" i="43"/>
  <c r="V19" i="43"/>
  <c r="Q19" i="43"/>
  <c r="AC97" i="43"/>
  <c r="AD97" i="43" s="1"/>
  <c r="AE97" i="43"/>
  <c r="AE64" i="43"/>
  <c r="AC64" i="43"/>
  <c r="AD64" i="43" s="1"/>
  <c r="V104" i="43"/>
  <c r="Q104" i="43"/>
  <c r="Q83" i="43"/>
  <c r="V83" i="43"/>
  <c r="AA110" i="43"/>
  <c r="M110" i="43"/>
  <c r="R110" i="43"/>
  <c r="Q91" i="43"/>
  <c r="V91" i="43"/>
  <c r="AB21" i="43"/>
  <c r="Q102" i="43"/>
  <c r="V102" i="43"/>
  <c r="AB186" i="43"/>
  <c r="W127" i="43"/>
  <c r="S127" i="43"/>
  <c r="V121" i="43"/>
  <c r="Q121" i="43"/>
  <c r="AB38" i="43"/>
  <c r="S62" i="43"/>
  <c r="W62" i="43"/>
  <c r="AB104" i="43"/>
  <c r="W15" i="43"/>
  <c r="S15" i="43"/>
  <c r="W105" i="43"/>
  <c r="S105" i="43"/>
  <c r="W106" i="43"/>
  <c r="S106" i="43"/>
  <c r="W12" i="43"/>
  <c r="S12" i="43"/>
  <c r="S210" i="43"/>
  <c r="W210" i="43"/>
  <c r="Q110" i="43"/>
  <c r="V110" i="43"/>
  <c r="Q151" i="43"/>
  <c r="V151" i="43"/>
  <c r="Q179" i="43"/>
  <c r="V179" i="43"/>
  <c r="S113" i="43"/>
  <c r="W113" i="43"/>
  <c r="Q175" i="43"/>
  <c r="V175" i="43"/>
  <c r="Q204" i="43"/>
  <c r="V204" i="43"/>
  <c r="S37" i="43"/>
  <c r="W37" i="43"/>
  <c r="S190" i="43"/>
  <c r="W190" i="43"/>
  <c r="AE109" i="43"/>
  <c r="AC109" i="43"/>
  <c r="AD109" i="43" s="1"/>
  <c r="M35" i="43"/>
  <c r="AA35" i="43"/>
  <c r="R35" i="43"/>
  <c r="Q20" i="43"/>
  <c r="V20" i="43"/>
  <c r="S102" i="43"/>
  <c r="W102" i="43"/>
  <c r="V200" i="43"/>
  <c r="Q200" i="43"/>
  <c r="AE94" i="43"/>
  <c r="AC94" i="43"/>
  <c r="AD94" i="43" s="1"/>
  <c r="Q53" i="43"/>
  <c r="V53" i="43"/>
  <c r="W204" i="43"/>
  <c r="S204" i="43"/>
  <c r="V32" i="43"/>
  <c r="Q32" i="43"/>
  <c r="AC132" i="43"/>
  <c r="AD132" i="43" s="1"/>
  <c r="AE132" i="43"/>
  <c r="W78" i="43"/>
  <c r="S78" i="43"/>
  <c r="M69" i="43"/>
  <c r="AA69" i="43"/>
  <c r="R69" i="43"/>
  <c r="AE160" i="43"/>
  <c r="AC160" i="43"/>
  <c r="AD160" i="43" s="1"/>
  <c r="S99" i="43"/>
  <c r="W99" i="43"/>
  <c r="AC45" i="43"/>
  <c r="AD45" i="43" s="1"/>
  <c r="AE45" i="43"/>
  <c r="S169" i="43"/>
  <c r="W169" i="43"/>
  <c r="V145" i="43"/>
  <c r="Q145" i="43"/>
  <c r="W83" i="43"/>
  <c r="S83" i="43"/>
  <c r="AC57" i="43"/>
  <c r="AD57" i="43" s="1"/>
  <c r="AE57" i="43"/>
  <c r="AE209" i="43"/>
  <c r="AC209" i="43"/>
  <c r="AD209" i="43" s="1"/>
  <c r="W155" i="43"/>
  <c r="S155" i="43"/>
  <c r="S189" i="43"/>
  <c r="W189" i="43"/>
  <c r="S132" i="43"/>
  <c r="W132" i="43"/>
  <c r="V150" i="43"/>
  <c r="Q150" i="43"/>
  <c r="W206" i="43"/>
  <c r="S206" i="43"/>
  <c r="M114" i="43"/>
  <c r="AA114" i="43"/>
  <c r="R114" i="43"/>
  <c r="AB114" i="43" s="1"/>
  <c r="AA88" i="43"/>
  <c r="R88" i="43"/>
  <c r="AB88" i="43" s="1"/>
  <c r="M88" i="43"/>
  <c r="AB48" i="43"/>
  <c r="S77" i="43"/>
  <c r="W77" i="43"/>
  <c r="W43" i="43"/>
  <c r="S43" i="43"/>
  <c r="W209" i="43"/>
  <c r="S209" i="43"/>
  <c r="Q69" i="43"/>
  <c r="V69" i="43"/>
  <c r="M90" i="43"/>
  <c r="R90" i="43"/>
  <c r="AA90" i="43"/>
  <c r="Q73" i="43"/>
  <c r="V73" i="43"/>
  <c r="AB156" i="43"/>
  <c r="AE93" i="43"/>
  <c r="AC93" i="43"/>
  <c r="AD93" i="43" s="1"/>
  <c r="S202" i="43"/>
  <c r="W202" i="43"/>
  <c r="V159" i="43"/>
  <c r="Q159" i="43"/>
  <c r="AE30" i="43"/>
  <c r="AC30" i="43"/>
  <c r="AD30" i="43" s="1"/>
  <c r="W117" i="43"/>
  <c r="S117" i="43"/>
  <c r="Q152" i="43"/>
  <c r="V152" i="43"/>
  <c r="M16" i="43"/>
  <c r="AA16" i="43"/>
  <c r="R16" i="43"/>
  <c r="M200" i="43"/>
  <c r="AA200" i="43"/>
  <c r="R200" i="43"/>
  <c r="AB200" i="43" s="1"/>
  <c r="Q44" i="43"/>
  <c r="V44" i="43"/>
  <c r="AB54" i="43"/>
  <c r="Q75" i="43"/>
  <c r="V75" i="43"/>
  <c r="AB202" i="43"/>
  <c r="Q183" i="43"/>
  <c r="V183" i="43"/>
  <c r="W160" i="43"/>
  <c r="S160" i="43"/>
  <c r="Q194" i="43"/>
  <c r="V194" i="43"/>
  <c r="AB28" i="43"/>
  <c r="AA163" i="43"/>
  <c r="M163" i="43"/>
  <c r="R163" i="43"/>
  <c r="AB163" i="43" s="1"/>
  <c r="M107" i="43"/>
  <c r="AA107" i="43"/>
  <c r="R107" i="43"/>
  <c r="V190" i="43"/>
  <c r="Q190" i="43"/>
  <c r="S68" i="43"/>
  <c r="W68" i="43"/>
  <c r="W93" i="43"/>
  <c r="S93" i="43"/>
  <c r="AB102" i="43"/>
  <c r="W74" i="43"/>
  <c r="S74" i="43"/>
  <c r="W71" i="43"/>
  <c r="S71" i="43"/>
  <c r="Q168" i="43"/>
  <c r="V168" i="43"/>
  <c r="AB36" i="43"/>
  <c r="M51" i="43"/>
  <c r="AA51" i="43"/>
  <c r="R51" i="43"/>
  <c r="AB164" i="43"/>
  <c r="AB76" i="43"/>
  <c r="Q161" i="43"/>
  <c r="V161" i="43"/>
  <c r="AB205" i="43"/>
  <c r="V95" i="43"/>
  <c r="Q95" i="43"/>
  <c r="S42" i="43"/>
  <c r="W42" i="43"/>
  <c r="W55" i="43"/>
  <c r="S55" i="43"/>
  <c r="AB172" i="43"/>
  <c r="W64" i="43"/>
  <c r="S64" i="43"/>
  <c r="W30" i="43"/>
  <c r="S30" i="43"/>
  <c r="S39" i="43"/>
  <c r="W39" i="43"/>
  <c r="Q158" i="43"/>
  <c r="V158" i="43"/>
  <c r="AB22" i="43"/>
  <c r="Q182" i="43"/>
  <c r="V182" i="43"/>
  <c r="W98" i="43"/>
  <c r="S98" i="43"/>
  <c r="V107" i="43"/>
  <c r="Q107" i="43"/>
  <c r="S18" i="43"/>
  <c r="W18" i="43"/>
  <c r="Q26" i="43"/>
  <c r="V26" i="43"/>
  <c r="W11" i="43"/>
  <c r="S11" i="43"/>
  <c r="W20" i="43"/>
  <c r="S20" i="43"/>
  <c r="W168" i="43"/>
  <c r="S168" i="43"/>
  <c r="W193" i="43"/>
  <c r="S193" i="43"/>
  <c r="S185" i="43"/>
  <c r="W185" i="43"/>
  <c r="S31" i="43"/>
  <c r="W31" i="43"/>
  <c r="Q37" i="43"/>
  <c r="V37" i="43"/>
  <c r="AC62" i="43"/>
  <c r="AD62" i="43" s="1"/>
  <c r="AE62" i="43"/>
  <c r="AA139" i="43"/>
  <c r="R139" i="43"/>
  <c r="M139" i="43"/>
  <c r="W84" i="43"/>
  <c r="S84" i="43"/>
  <c r="V176" i="43"/>
  <c r="Q176" i="43"/>
  <c r="S65" i="43"/>
  <c r="W65" i="43"/>
  <c r="AE91" i="43"/>
  <c r="AC91" i="43"/>
  <c r="AD91" i="43" s="1"/>
  <c r="V43" i="43"/>
  <c r="Q43" i="43"/>
  <c r="S50" i="43"/>
  <c r="W50" i="43"/>
  <c r="Q133" i="43"/>
  <c r="V133" i="43"/>
  <c r="M123" i="43"/>
  <c r="AA123" i="43"/>
  <c r="R123" i="43"/>
  <c r="AB201" i="43"/>
  <c r="Q210" i="43"/>
  <c r="V210" i="43"/>
  <c r="S60" i="43"/>
  <c r="W60" i="43"/>
  <c r="AA141" i="43"/>
  <c r="R141" i="43"/>
  <c r="M141" i="43"/>
  <c r="AC182" i="43"/>
  <c r="AD182" i="43" s="1"/>
  <c r="AE182" i="43"/>
  <c r="V88" i="43"/>
  <c r="Q88" i="43"/>
  <c r="W79" i="43"/>
  <c r="S79" i="43"/>
  <c r="V51" i="43"/>
  <c r="Q51" i="43"/>
  <c r="AA125" i="43"/>
  <c r="R125" i="43"/>
  <c r="AB125" i="43" s="1"/>
  <c r="M125" i="43"/>
  <c r="Q12" i="43"/>
  <c r="V12" i="43"/>
  <c r="V71" i="43"/>
  <c r="Q71" i="43"/>
  <c r="AE211" i="43"/>
  <c r="AC211" i="43"/>
  <c r="AD211" i="43" s="1"/>
  <c r="AE193" i="43"/>
  <c r="AC193" i="43"/>
  <c r="AD193" i="43" s="1"/>
  <c r="Q67" i="43"/>
  <c r="V67" i="43"/>
  <c r="S118" i="43"/>
  <c r="W118" i="43"/>
  <c r="W122" i="43"/>
  <c r="S122" i="43"/>
  <c r="AC98" i="43"/>
  <c r="AD98" i="43" s="1"/>
  <c r="AE98" i="43"/>
  <c r="S207" i="43"/>
  <c r="W207" i="43"/>
  <c r="S91" i="43"/>
  <c r="W91" i="43"/>
  <c r="Q34" i="43"/>
  <c r="V34" i="43"/>
  <c r="AB14" i="43"/>
  <c r="W87" i="43"/>
  <c r="S87" i="43"/>
  <c r="W165" i="43"/>
  <c r="S165" i="43"/>
  <c r="S80" i="43"/>
  <c r="W80" i="43"/>
  <c r="V162" i="43"/>
  <c r="Q162" i="43"/>
  <c r="W66" i="43"/>
  <c r="S66" i="43"/>
  <c r="AE144" i="43"/>
  <c r="AC144" i="43"/>
  <c r="AD144" i="43" s="1"/>
  <c r="Q112" i="43"/>
  <c r="V112" i="43"/>
  <c r="S57" i="43"/>
  <c r="W57" i="43"/>
  <c r="AE11" i="43"/>
  <c r="AC11" i="43"/>
  <c r="AD11" i="43" s="1"/>
  <c r="W38" i="43"/>
  <c r="S38" i="43"/>
  <c r="AA19" i="43"/>
  <c r="M19" i="43"/>
  <c r="R19" i="43"/>
  <c r="V114" i="43"/>
  <c r="Q114" i="43"/>
  <c r="AB29" i="43"/>
  <c r="AB154" i="43"/>
  <c r="Q25" i="43"/>
  <c r="V25" i="43"/>
  <c r="AB167" i="43"/>
  <c r="S144" i="43"/>
  <c r="W144" i="43"/>
  <c r="S191" i="43"/>
  <c r="W191" i="43"/>
  <c r="Q61" i="43"/>
  <c r="V61" i="43"/>
  <c r="V117" i="43"/>
  <c r="Q117" i="43"/>
  <c r="S140" i="43"/>
  <c r="W140" i="43"/>
  <c r="S161" i="43"/>
  <c r="W161" i="43"/>
  <c r="S82" i="43"/>
  <c r="W82" i="43"/>
  <c r="W143" i="43"/>
  <c r="S143" i="43"/>
  <c r="S103" i="43"/>
  <c r="W103" i="43"/>
  <c r="M58" i="43"/>
  <c r="AA58" i="43"/>
  <c r="R58" i="43"/>
  <c r="AC119" i="43"/>
  <c r="AD119" i="43" s="1"/>
  <c r="AE119" i="43"/>
  <c r="AE55" i="43"/>
  <c r="AC55" i="43"/>
  <c r="AD55" i="43" s="1"/>
  <c r="AB185" i="43"/>
  <c r="Q131" i="43"/>
  <c r="V131" i="43"/>
  <c r="AB152" i="43"/>
  <c r="Q18" i="43"/>
  <c r="V18" i="43"/>
  <c r="V211" i="43"/>
  <c r="Q211" i="43"/>
  <c r="W41" i="43"/>
  <c r="S41" i="43"/>
  <c r="V97" i="43"/>
  <c r="Q97" i="43"/>
  <c r="W135" i="43"/>
  <c r="S135" i="43"/>
  <c r="AB42" i="43"/>
  <c r="Q36" i="43"/>
  <c r="V36" i="43"/>
  <c r="AA192" i="43"/>
  <c r="M192" i="43"/>
  <c r="R192" i="43"/>
  <c r="AB196" i="43"/>
  <c r="AB75" i="43"/>
  <c r="S96" i="43"/>
  <c r="W96" i="43"/>
  <c r="AB175" i="43"/>
  <c r="AB195" i="43"/>
  <c r="W186" i="43"/>
  <c r="S186" i="43"/>
  <c r="S97" i="43"/>
  <c r="W97" i="43"/>
  <c r="AE80" i="43"/>
  <c r="AC80" i="43"/>
  <c r="AD80" i="43" s="1"/>
  <c r="V184" i="43"/>
  <c r="Q184" i="43"/>
  <c r="Q41" i="43"/>
  <c r="V41" i="43"/>
  <c r="AE12" i="43"/>
  <c r="AC12" i="43"/>
  <c r="AD12" i="43" s="1"/>
  <c r="Q111" i="43"/>
  <c r="V111" i="43"/>
  <c r="AE77" i="43"/>
  <c r="AC77" i="43"/>
  <c r="AD77" i="43" s="1"/>
  <c r="S73" i="43"/>
  <c r="W73" i="43"/>
  <c r="AE165" i="43"/>
  <c r="AC165" i="43"/>
  <c r="AD165" i="43" s="1"/>
  <c r="W157" i="43"/>
  <c r="S157" i="43"/>
  <c r="AA170" i="43"/>
  <c r="R170" i="43"/>
  <c r="M170" i="43"/>
  <c r="AA112" i="43"/>
  <c r="M112" i="43"/>
  <c r="R112" i="43"/>
  <c r="AE155" i="43"/>
  <c r="AC155" i="43"/>
  <c r="AD155" i="43" s="1"/>
  <c r="W49" i="43"/>
  <c r="S49" i="43"/>
  <c r="W104" i="43"/>
  <c r="S104" i="43"/>
  <c r="S150" i="43"/>
  <c r="W150" i="43"/>
  <c r="AC24" i="43"/>
  <c r="AD24" i="43" s="1"/>
  <c r="AE24" i="43"/>
  <c r="AE128" i="43"/>
  <c r="AC128" i="43"/>
  <c r="AD128" i="43" s="1"/>
  <c r="AC70" i="43"/>
  <c r="AD70" i="43" s="1"/>
  <c r="AE70" i="43"/>
  <c r="AC187" i="43"/>
  <c r="AD187" i="43" s="1"/>
  <c r="AE187" i="43"/>
  <c r="V203" i="43"/>
  <c r="Q203" i="43"/>
  <c r="AE108" i="43"/>
  <c r="AC108" i="43"/>
  <c r="AD108" i="43" s="1"/>
  <c r="S129" i="43"/>
  <c r="W129" i="43"/>
  <c r="M63" i="43"/>
  <c r="AA63" i="43"/>
  <c r="R63" i="43"/>
  <c r="AB142" i="43"/>
  <c r="AB20" i="43"/>
  <c r="AE199" i="43"/>
  <c r="AC199" i="43"/>
  <c r="AD199" i="43" s="1"/>
  <c r="Q134" i="43"/>
  <c r="V134" i="43"/>
  <c r="S199" i="43"/>
  <c r="W199" i="43"/>
  <c r="AC106" i="43"/>
  <c r="AD106" i="43" s="1"/>
  <c r="AE106" i="43"/>
  <c r="AA101" i="43"/>
  <c r="M101" i="43"/>
  <c r="R101" i="43"/>
  <c r="AB101" i="43" s="1"/>
  <c r="S75" i="43"/>
  <c r="W75" i="43"/>
  <c r="S197" i="43"/>
  <c r="W197" i="43"/>
  <c r="V188" i="43"/>
  <c r="Q188" i="43"/>
  <c r="AE81" i="43"/>
  <c r="AC81" i="43"/>
  <c r="AD81" i="43" s="1"/>
  <c r="S108" i="43"/>
  <c r="W108" i="43"/>
  <c r="Q115" i="43"/>
  <c r="V115" i="43"/>
  <c r="AB32" i="43"/>
  <c r="W198" i="43"/>
  <c r="S198" i="43"/>
  <c r="AB53" i="43"/>
  <c r="AA194" i="43"/>
  <c r="M194" i="43"/>
  <c r="R194" i="43"/>
  <c r="AB194" i="43" s="1"/>
  <c r="M40" i="43"/>
  <c r="AA40" i="43"/>
  <c r="R40" i="43"/>
  <c r="AB40" i="43" s="1"/>
  <c r="AE74" i="43"/>
  <c r="AC74" i="43"/>
  <c r="AD74" i="43" s="1"/>
  <c r="AB99" i="43"/>
  <c r="AB176" i="43"/>
  <c r="Q124" i="43"/>
  <c r="V124" i="43"/>
  <c r="S147" i="43"/>
  <c r="W147" i="43"/>
  <c r="V174" i="43"/>
  <c r="Q174" i="43"/>
  <c r="V14" i="43"/>
  <c r="Q14" i="43"/>
  <c r="AE168" i="43"/>
  <c r="AC168" i="43"/>
  <c r="AD168" i="43" s="1"/>
  <c r="AB162" i="43"/>
  <c r="W46" i="43"/>
  <c r="S46" i="43"/>
  <c r="S166" i="43"/>
  <c r="W166" i="43"/>
  <c r="Q177" i="43"/>
  <c r="V177" i="43"/>
  <c r="V56" i="43"/>
  <c r="Q56" i="43"/>
  <c r="AB158" i="43"/>
  <c r="AB15" i="43"/>
  <c r="AA89" i="43"/>
  <c r="M89" i="43"/>
  <c r="R89" i="43"/>
  <c r="Q47" i="43"/>
  <c r="V47" i="43"/>
  <c r="AB133" i="43"/>
  <c r="W119" i="43"/>
  <c r="S119" i="43"/>
  <c r="W27" i="43"/>
  <c r="S27" i="43"/>
  <c r="W153" i="43"/>
  <c r="S153" i="43"/>
  <c r="V23" i="43"/>
  <c r="Q23" i="43"/>
  <c r="AE72" i="43"/>
  <c r="AC72" i="43"/>
  <c r="AD72" i="43" s="1"/>
  <c r="W130" i="43"/>
  <c r="S130" i="43"/>
  <c r="W184" i="43"/>
  <c r="S184" i="43"/>
  <c r="V63" i="43"/>
  <c r="Q63" i="43"/>
  <c r="S116" i="43"/>
  <c r="W116" i="43"/>
  <c r="S159" i="43"/>
  <c r="W159" i="43"/>
  <c r="W115" i="43"/>
  <c r="S115" i="43"/>
  <c r="W162" i="43"/>
  <c r="S162" i="43"/>
  <c r="W22" i="43"/>
  <c r="S22" i="43"/>
  <c r="S34" i="43"/>
  <c r="W34" i="43"/>
  <c r="AC83" i="43" l="1"/>
  <c r="AD83" i="43" s="1"/>
  <c r="AE111" i="43"/>
  <c r="AE204" i="43"/>
  <c r="AC161" i="43"/>
  <c r="AD161" i="43" s="1"/>
  <c r="AE13" i="43"/>
  <c r="AC41" i="43"/>
  <c r="AD41" i="43" s="1"/>
  <c r="AC43" i="43"/>
  <c r="AD43" i="43" s="1"/>
  <c r="AC171" i="43"/>
  <c r="AD171" i="43" s="1"/>
  <c r="AC188" i="43"/>
  <c r="AD188" i="43" s="1"/>
  <c r="AE73" i="43"/>
  <c r="AC134" i="43"/>
  <c r="AD134" i="43" s="1"/>
  <c r="AE150" i="43"/>
  <c r="AC117" i="43"/>
  <c r="AD117" i="43" s="1"/>
  <c r="AE59" i="43"/>
  <c r="AC59" i="43"/>
  <c r="AD59" i="43" s="1"/>
  <c r="AE101" i="43"/>
  <c r="AC101" i="43"/>
  <c r="AD101" i="43" s="1"/>
  <c r="S89" i="43"/>
  <c r="W89" i="43"/>
  <c r="AB89" i="43"/>
  <c r="AE163" i="43"/>
  <c r="AC163" i="43"/>
  <c r="AD163" i="43" s="1"/>
  <c r="AE56" i="43"/>
  <c r="AC56" i="43"/>
  <c r="AD56" i="43" s="1"/>
  <c r="S194" i="43"/>
  <c r="W194" i="43"/>
  <c r="W63" i="43"/>
  <c r="S63" i="43"/>
  <c r="AB63" i="43"/>
  <c r="AE138" i="43"/>
  <c r="AC138" i="43"/>
  <c r="AD138" i="43" s="1"/>
  <c r="W107" i="43"/>
  <c r="S107" i="43"/>
  <c r="AB107" i="43"/>
  <c r="AC54" i="43"/>
  <c r="AD54" i="43" s="1"/>
  <c r="AE54" i="43"/>
  <c r="AE38" i="43"/>
  <c r="AC38" i="43"/>
  <c r="AD38" i="43" s="1"/>
  <c r="AE21" i="43"/>
  <c r="AC21" i="43"/>
  <c r="AD21" i="43" s="1"/>
  <c r="W52" i="43"/>
  <c r="S52" i="43"/>
  <c r="S26" i="43"/>
  <c r="W26" i="43"/>
  <c r="AB26" i="43"/>
  <c r="S121" i="43"/>
  <c r="W121" i="43"/>
  <c r="AB121" i="43"/>
  <c r="S131" i="43"/>
  <c r="W131" i="43"/>
  <c r="AB131" i="43"/>
  <c r="AC174" i="43"/>
  <c r="AD174" i="43" s="1"/>
  <c r="AE174" i="43"/>
  <c r="W51" i="43"/>
  <c r="S51" i="43"/>
  <c r="AC194" i="43"/>
  <c r="AD194" i="43" s="1"/>
  <c r="AE194" i="43"/>
  <c r="W112" i="43"/>
  <c r="S112" i="43"/>
  <c r="W125" i="43"/>
  <c r="S125" i="43"/>
  <c r="AE22" i="43"/>
  <c r="AC22" i="43"/>
  <c r="AD22" i="43" s="1"/>
  <c r="AC102" i="43"/>
  <c r="AD102" i="43" s="1"/>
  <c r="AE102" i="43"/>
  <c r="W90" i="43"/>
  <c r="S90" i="43"/>
  <c r="AB90" i="43"/>
  <c r="AE17" i="43"/>
  <c r="AC17" i="43"/>
  <c r="AD17" i="43" s="1"/>
  <c r="AE33" i="43"/>
  <c r="AC33" i="43"/>
  <c r="AD33" i="43" s="1"/>
  <c r="S56" i="43"/>
  <c r="W56" i="43"/>
  <c r="S124" i="43"/>
  <c r="W124" i="43"/>
  <c r="AB124" i="43"/>
  <c r="AE105" i="43"/>
  <c r="AC105" i="43"/>
  <c r="AD105" i="43" s="1"/>
  <c r="S177" i="43"/>
  <c r="W177" i="43"/>
  <c r="AB177" i="43"/>
  <c r="S32" i="43"/>
  <c r="W32" i="43"/>
  <c r="AC142" i="43"/>
  <c r="AD142" i="43" s="1"/>
  <c r="AE142" i="43"/>
  <c r="AE185" i="43"/>
  <c r="AC185" i="43"/>
  <c r="AD185" i="43" s="1"/>
  <c r="AE99" i="43"/>
  <c r="AC99" i="43"/>
  <c r="AD99" i="43" s="1"/>
  <c r="AE75" i="43"/>
  <c r="AC75" i="43"/>
  <c r="AD75" i="43" s="1"/>
  <c r="S19" i="43"/>
  <c r="W19" i="43"/>
  <c r="AB19" i="43"/>
  <c r="AE201" i="43"/>
  <c r="AC201" i="43"/>
  <c r="AD201" i="43" s="1"/>
  <c r="AC205" i="43"/>
  <c r="AD205" i="43" s="1"/>
  <c r="AE205" i="43"/>
  <c r="AE36" i="43"/>
  <c r="AC36" i="43"/>
  <c r="AD36" i="43" s="1"/>
  <c r="AE173" i="43"/>
  <c r="AC173" i="43"/>
  <c r="AD173" i="43" s="1"/>
  <c r="S208" i="43"/>
  <c r="W208" i="43"/>
  <c r="S67" i="43"/>
  <c r="W67" i="43"/>
  <c r="W86" i="43"/>
  <c r="S86" i="43"/>
  <c r="S183" i="43"/>
  <c r="W183" i="43"/>
  <c r="AB183" i="43"/>
  <c r="AB67" i="43"/>
  <c r="AB208" i="43"/>
  <c r="W203" i="43"/>
  <c r="S203" i="43"/>
  <c r="AE14" i="43"/>
  <c r="AC14" i="43"/>
  <c r="AD14" i="43" s="1"/>
  <c r="AC40" i="43"/>
  <c r="AD40" i="43" s="1"/>
  <c r="AE40" i="43"/>
  <c r="W101" i="43"/>
  <c r="S101" i="43"/>
  <c r="AE196" i="43"/>
  <c r="AC196" i="43"/>
  <c r="AD196" i="43" s="1"/>
  <c r="AC167" i="43"/>
  <c r="AD167" i="43" s="1"/>
  <c r="AE167" i="43"/>
  <c r="W123" i="43"/>
  <c r="S123" i="43"/>
  <c r="AB123" i="43"/>
  <c r="AE172" i="43"/>
  <c r="AC172" i="43"/>
  <c r="AD172" i="43" s="1"/>
  <c r="W163" i="43"/>
  <c r="S163" i="43"/>
  <c r="S200" i="43"/>
  <c r="W200" i="43"/>
  <c r="AC48" i="43"/>
  <c r="AD48" i="43" s="1"/>
  <c r="AE48" i="43"/>
  <c r="W35" i="43"/>
  <c r="S35" i="43"/>
  <c r="W110" i="43"/>
  <c r="S110" i="43"/>
  <c r="AB110" i="43"/>
  <c r="AE100" i="43"/>
  <c r="AC100" i="43"/>
  <c r="AD100" i="43" s="1"/>
  <c r="W151" i="43"/>
  <c r="S151" i="43"/>
  <c r="AB151" i="43"/>
  <c r="S137" i="43"/>
  <c r="W137" i="43"/>
  <c r="AC140" i="43"/>
  <c r="AD140" i="43" s="1"/>
  <c r="AE140" i="43"/>
  <c r="W174" i="43"/>
  <c r="S174" i="43"/>
  <c r="AB112" i="43"/>
  <c r="AC114" i="43"/>
  <c r="AD114" i="43" s="1"/>
  <c r="AE114" i="43"/>
  <c r="AC29" i="43"/>
  <c r="AD29" i="43" s="1"/>
  <c r="AE29" i="43"/>
  <c r="AE176" i="43"/>
  <c r="AC176" i="43"/>
  <c r="AD176" i="43" s="1"/>
  <c r="AE42" i="43"/>
  <c r="AC42" i="43"/>
  <c r="AD42" i="43" s="1"/>
  <c r="AE15" i="43"/>
  <c r="AC15" i="43"/>
  <c r="AD15" i="43" s="1"/>
  <c r="AE53" i="43"/>
  <c r="AC53" i="43"/>
  <c r="AD53" i="43" s="1"/>
  <c r="AE133" i="43"/>
  <c r="AC133" i="43"/>
  <c r="AD133" i="43" s="1"/>
  <c r="AE158" i="43"/>
  <c r="AC158" i="43"/>
  <c r="AD158" i="43" s="1"/>
  <c r="W192" i="43"/>
  <c r="S192" i="43"/>
  <c r="AB192" i="43"/>
  <c r="AB51" i="43"/>
  <c r="S141" i="43"/>
  <c r="W141" i="43"/>
  <c r="AB141" i="43"/>
  <c r="AC86" i="43"/>
  <c r="AD86" i="43" s="1"/>
  <c r="AE86" i="43"/>
  <c r="AC137" i="43"/>
  <c r="AD137" i="43" s="1"/>
  <c r="AE137" i="43"/>
  <c r="AB52" i="43"/>
  <c r="W138" i="43"/>
  <c r="S138" i="43"/>
  <c r="W145" i="43"/>
  <c r="S145" i="43"/>
  <c r="W23" i="43"/>
  <c r="S23" i="43"/>
  <c r="AB23" i="43"/>
  <c r="S114" i="43"/>
  <c r="W114" i="43"/>
  <c r="AE162" i="43"/>
  <c r="AC162" i="43"/>
  <c r="AD162" i="43" s="1"/>
  <c r="S40" i="43"/>
  <c r="W40" i="43"/>
  <c r="S170" i="43"/>
  <c r="W170" i="43"/>
  <c r="AB170" i="43"/>
  <c r="AE195" i="43"/>
  <c r="AC195" i="43"/>
  <c r="AD195" i="43" s="1"/>
  <c r="AC152" i="43"/>
  <c r="AD152" i="43" s="1"/>
  <c r="AE152" i="43"/>
  <c r="S139" i="43"/>
  <c r="W139" i="43"/>
  <c r="AC76" i="43"/>
  <c r="AD76" i="43" s="1"/>
  <c r="AE76" i="43"/>
  <c r="AC202" i="43"/>
  <c r="AD202" i="43" s="1"/>
  <c r="AE202" i="43"/>
  <c r="AC156" i="43"/>
  <c r="AD156" i="43" s="1"/>
  <c r="AE156" i="43"/>
  <c r="S88" i="43"/>
  <c r="W88" i="43"/>
  <c r="AB139" i="43"/>
  <c r="AE104" i="43"/>
  <c r="AC104" i="43"/>
  <c r="AD104" i="43" s="1"/>
  <c r="AE186" i="43"/>
  <c r="AC186" i="43"/>
  <c r="AD186" i="43" s="1"/>
  <c r="AE85" i="43"/>
  <c r="AC85" i="43"/>
  <c r="AD85" i="43" s="1"/>
  <c r="W179" i="43"/>
  <c r="S179" i="43"/>
  <c r="AB179" i="43"/>
  <c r="AE125" i="43"/>
  <c r="AC125" i="43"/>
  <c r="AD125" i="43" s="1"/>
  <c r="AC200" i="43"/>
  <c r="AD200" i="43" s="1"/>
  <c r="AE200" i="43"/>
  <c r="AC32" i="43"/>
  <c r="AD32" i="43" s="1"/>
  <c r="AE32" i="43"/>
  <c r="AE20" i="43"/>
  <c r="AC20" i="43"/>
  <c r="AD20" i="43" s="1"/>
  <c r="AC175" i="43"/>
  <c r="AD175" i="43" s="1"/>
  <c r="AE175" i="43"/>
  <c r="AC88" i="43"/>
  <c r="AD88" i="43" s="1"/>
  <c r="AE88" i="43"/>
  <c r="W58" i="43"/>
  <c r="S58" i="43"/>
  <c r="AB58" i="43"/>
  <c r="AE154" i="43"/>
  <c r="AC154" i="43"/>
  <c r="AD154" i="43" s="1"/>
  <c r="AC164" i="43"/>
  <c r="AD164" i="43" s="1"/>
  <c r="AE164" i="43"/>
  <c r="AE28" i="43"/>
  <c r="AC28" i="43"/>
  <c r="AD28" i="43" s="1"/>
  <c r="S16" i="43"/>
  <c r="W16" i="43"/>
  <c r="AB16" i="43"/>
  <c r="AE145" i="43"/>
  <c r="AC145" i="43"/>
  <c r="AD145" i="43" s="1"/>
  <c r="W69" i="43"/>
  <c r="S69" i="43"/>
  <c r="AB69" i="43"/>
  <c r="AB35" i="43"/>
  <c r="AE47" i="43"/>
  <c r="AC47" i="43"/>
  <c r="AD47" i="43" s="1"/>
  <c r="W25" i="43"/>
  <c r="S25" i="43"/>
  <c r="AB25" i="43"/>
  <c r="W95" i="43"/>
  <c r="S95" i="43"/>
  <c r="AB95" i="43"/>
  <c r="S59" i="43"/>
  <c r="W59" i="43"/>
  <c r="AB203" i="43"/>
  <c r="AC192" i="43" l="1"/>
  <c r="AD192" i="43" s="1"/>
  <c r="AE192" i="43"/>
  <c r="AE35" i="43"/>
  <c r="AC35" i="43"/>
  <c r="AD35" i="43" s="1"/>
  <c r="AE90" i="43"/>
  <c r="AC90" i="43"/>
  <c r="AD90" i="43" s="1"/>
  <c r="AE89" i="43"/>
  <c r="AC89" i="43"/>
  <c r="AD89" i="43" s="1"/>
  <c r="AE69" i="43"/>
  <c r="AC69" i="43"/>
  <c r="AD69" i="43" s="1"/>
  <c r="AE151" i="43"/>
  <c r="AC151" i="43"/>
  <c r="AD151" i="43" s="1"/>
  <c r="AC131" i="43"/>
  <c r="AD131" i="43" s="1"/>
  <c r="AE131" i="43"/>
  <c r="AE58" i="43"/>
  <c r="AC58" i="43"/>
  <c r="AD58" i="43" s="1"/>
  <c r="AE26" i="43"/>
  <c r="AC26" i="43"/>
  <c r="AD26" i="43" s="1"/>
  <c r="AE112" i="43"/>
  <c r="AC112" i="43"/>
  <c r="AD112" i="43" s="1"/>
  <c r="AC208" i="43"/>
  <c r="AD208" i="43" s="1"/>
  <c r="AE208" i="43"/>
  <c r="AE177" i="43"/>
  <c r="AC177" i="43"/>
  <c r="AD177" i="43" s="1"/>
  <c r="AC107" i="43"/>
  <c r="AD107" i="43" s="1"/>
  <c r="AE107" i="43"/>
  <c r="AE139" i="43"/>
  <c r="AC139" i="43"/>
  <c r="AD139" i="43" s="1"/>
  <c r="AC124" i="43"/>
  <c r="AD124" i="43" s="1"/>
  <c r="AE124" i="43"/>
  <c r="AC141" i="43"/>
  <c r="AD141" i="43" s="1"/>
  <c r="AE141" i="43"/>
  <c r="AC123" i="43"/>
  <c r="AD123" i="43" s="1"/>
  <c r="AE123" i="43"/>
  <c r="AE67" i="43"/>
  <c r="AC67" i="43"/>
  <c r="AD67" i="43" s="1"/>
  <c r="AC95" i="43"/>
  <c r="AD95" i="43" s="1"/>
  <c r="AE95" i="43"/>
  <c r="AC183" i="43"/>
  <c r="AD183" i="43" s="1"/>
  <c r="AE183" i="43"/>
  <c r="AE121" i="43"/>
  <c r="AC121" i="43"/>
  <c r="AD121" i="43" s="1"/>
  <c r="AE23" i="43"/>
  <c r="AC23" i="43"/>
  <c r="AD23" i="43" s="1"/>
  <c r="AE25" i="43"/>
  <c r="AC25" i="43"/>
  <c r="AD25" i="43" s="1"/>
  <c r="AE203" i="43"/>
  <c r="AC203" i="43"/>
  <c r="AD203" i="43" s="1"/>
  <c r="AE19" i="43"/>
  <c r="AC19" i="43"/>
  <c r="AD19" i="43" s="1"/>
  <c r="AE63" i="43"/>
  <c r="AC63" i="43"/>
  <c r="AD63" i="43" s="1"/>
  <c r="AC16" i="43"/>
  <c r="AD16" i="43" s="1"/>
  <c r="AE16" i="43"/>
  <c r="AE179" i="43"/>
  <c r="AC179" i="43"/>
  <c r="AD179" i="43" s="1"/>
  <c r="AE170" i="43"/>
  <c r="AC170" i="43"/>
  <c r="AD170" i="43" s="1"/>
  <c r="AE52" i="43"/>
  <c r="AC52" i="43"/>
  <c r="AD52" i="43" s="1"/>
  <c r="AE51" i="43"/>
  <c r="AC51" i="43"/>
  <c r="AD51" i="43" s="1"/>
  <c r="AC110" i="43"/>
  <c r="AD110" i="43" s="1"/>
  <c r="AE110" i="43"/>
</calcChain>
</file>

<file path=xl/sharedStrings.xml><?xml version="1.0" encoding="utf-8"?>
<sst xmlns="http://schemas.openxmlformats.org/spreadsheetml/2006/main" count="102" uniqueCount="95">
  <si>
    <t>Complex</t>
  </si>
  <si>
    <t>Mag</t>
  </si>
  <si>
    <t>Physical Constants</t>
  </si>
  <si>
    <t>Air Density</t>
  </si>
  <si>
    <t>Speed of Sound</t>
  </si>
  <si>
    <t>Woofer Variables</t>
  </si>
  <si>
    <t>Driver Area (Sd)</t>
  </si>
  <si>
    <t>Driver Moving Mass (Md)</t>
  </si>
  <si>
    <t>Driver Stiffness (Kd)</t>
  </si>
  <si>
    <t>Driver Damping (Dd)</t>
  </si>
  <si>
    <t>Driver Resistance (Re)</t>
  </si>
  <si>
    <t>Driver Inductance (Le)</t>
  </si>
  <si>
    <t>Box and PR Variables</t>
  </si>
  <si>
    <t>Box Volume (Vb)</t>
  </si>
  <si>
    <t>Box Tuning Frequency (fb)</t>
  </si>
  <si>
    <t>Box Leakage Q (Qbl)</t>
  </si>
  <si>
    <t>Drive Variable</t>
  </si>
  <si>
    <t>Input Voltage</t>
  </si>
  <si>
    <t>Calculated Quantities</t>
  </si>
  <si>
    <t>Driver Qes</t>
  </si>
  <si>
    <t>Driver Qms</t>
  </si>
  <si>
    <t>Driver Qts</t>
  </si>
  <si>
    <t>Driver Vas (liters)</t>
  </si>
  <si>
    <t>Box Leakage Damping (Dbl)</t>
  </si>
  <si>
    <t>Calculations</t>
  </si>
  <si>
    <t>One Volt Solution</t>
  </si>
  <si>
    <t>Hertz</t>
  </si>
  <si>
    <t>s(w)</t>
  </si>
  <si>
    <t>Z1(w)</t>
  </si>
  <si>
    <t>Var1(w)</t>
  </si>
  <si>
    <t>Var2(w)</t>
  </si>
  <si>
    <t>B(w)</t>
  </si>
  <si>
    <t>Xd1</t>
  </si>
  <si>
    <t>Xr1</t>
  </si>
  <si>
    <t>Zin</t>
  </si>
  <si>
    <t>PhXd1</t>
  </si>
  <si>
    <t>PhXr1</t>
  </si>
  <si>
    <t>Pd1</t>
  </si>
  <si>
    <t>PhPd1</t>
  </si>
  <si>
    <t>Pr1</t>
  </si>
  <si>
    <t>PhPr1</t>
  </si>
  <si>
    <t>Frequency</t>
  </si>
  <si>
    <t>Output at Modeled Voltage</t>
  </si>
  <si>
    <t>SPLdV</t>
  </si>
  <si>
    <t>SPLrV</t>
  </si>
  <si>
    <t>SPLV</t>
  </si>
  <si>
    <t>Phase</t>
  </si>
  <si>
    <t>Xl1</t>
  </si>
  <si>
    <t>PhXl1</t>
  </si>
  <si>
    <t>Prl</t>
  </si>
  <si>
    <t>PhPrl</t>
  </si>
  <si>
    <t>SPLlV</t>
  </si>
  <si>
    <t>Electro-Mechanical Thiele/Small Box Model</t>
  </si>
  <si>
    <t>Voltage Sensitivity  [dB/(V*m)]</t>
  </si>
  <si>
    <t>Driver Resonance fs  [Hz]</t>
  </si>
  <si>
    <t>XdV</t>
  </si>
  <si>
    <t>XrV</t>
  </si>
  <si>
    <t>XlV</t>
  </si>
  <si>
    <t>VrV</t>
  </si>
  <si>
    <t>Port Area (Sp)</t>
  </si>
  <si>
    <t>Box Stiffness (Kbp)</t>
  </si>
  <si>
    <t>Port Mass (Mp)</t>
  </si>
  <si>
    <t xml:space="preserve">This is a Thiele/Small lumped parameter box model based on the electro-mechanical circuit for a ported system.  It includes voice coil inductance and box leakage.  </t>
  </si>
  <si>
    <t>Driver Bl Product (Bl)</t>
  </si>
  <si>
    <t>Password:  Opensesame</t>
  </si>
  <si>
    <t>Items in green can be edited!</t>
  </si>
  <si>
    <t>Port Length  [in]</t>
  </si>
  <si>
    <t>Port Diameter  [in]</t>
  </si>
  <si>
    <t>Thiele/Small to Electro-Mechanical Conversion</t>
  </si>
  <si>
    <t>Value</t>
  </si>
  <si>
    <t>Units</t>
  </si>
  <si>
    <t>kg/m^3</t>
  </si>
  <si>
    <t>m/s</t>
  </si>
  <si>
    <t>Input Driver T/S Variables</t>
  </si>
  <si>
    <t>Driver Resistance  (Re)</t>
  </si>
  <si>
    <t>Ohm</t>
  </si>
  <si>
    <t>Resonant Frequency  (fs)</t>
  </si>
  <si>
    <t>Hz</t>
  </si>
  <si>
    <t>Driver Electrical Q (Qes)</t>
  </si>
  <si>
    <t>-</t>
  </si>
  <si>
    <t>Driver Mechancial Q  (Qms)</t>
  </si>
  <si>
    <t>m^2</t>
  </si>
  <si>
    <t>Driver Equivalent Volume  (Vas)</t>
  </si>
  <si>
    <t>m^3</t>
  </si>
  <si>
    <t>Output Electro-Mechanical Variables</t>
  </si>
  <si>
    <t>Driver Stiffness  (Kd)</t>
  </si>
  <si>
    <t>kg/s^2</t>
  </si>
  <si>
    <t>Driver Moving Mass  (Md)</t>
  </si>
  <si>
    <t>kg</t>
  </si>
  <si>
    <t>Driver Mechanical Damping  (Dd)</t>
  </si>
  <si>
    <t>kg/s</t>
  </si>
  <si>
    <t>Driver Motor Force  (Bl)</t>
  </si>
  <si>
    <t>N/A</t>
  </si>
  <si>
    <t>One Volt Sensitivity @ 1 Meter</t>
  </si>
  <si>
    <t>dB/V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</si>
</sst>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0.0"/>
    <numFmt numFmtId="165" formatCode="#,##0.0"/>
    <numFmt numFmtId="166" formatCode="0.0000"/>
    <numFmt numFmtId="167" formatCode="0.000"/>
    <numFmt numFmtId="168" formatCode="0.00000"/>
    <numFmt numFmtId="169" formatCode="0.000000"/>
    <numFmt numFmtId="174" formatCode="&quot;$&quot;#,##0"/>
  </numFmts>
  <fonts count="12" x14ac:knownFonts="1">
    <font>
      <sz val="11"/>
      <color theme="1"/>
      <name val="Calibri"/>
      <family val="2"/>
      <scheme val="minor"/>
    </font>
    <font>
      <sz val="2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8">
    <border>
      <left/>
      <right/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double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double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17">
    <xf numFmtId="0" fontId="0" fillId="0" borderId="0" xfId="0"/>
    <xf numFmtId="2" fontId="0" fillId="0" borderId="0" xfId="0" applyNumberFormat="1" applyAlignment="1">
      <alignment horizontal="right" indent="1"/>
    </xf>
    <xf numFmtId="164" fontId="0" fillId="0" borderId="0" xfId="0" applyNumberFormat="1" applyAlignment="1">
      <alignment horizontal="right" indent="1"/>
    </xf>
    <xf numFmtId="3" fontId="0" fillId="0" borderId="0" xfId="0" applyNumberFormat="1" applyAlignment="1">
      <alignment horizontal="right" indent="1"/>
    </xf>
    <xf numFmtId="164" fontId="0" fillId="0" borderId="0" xfId="0" applyNumberFormat="1" applyAlignment="1">
      <alignment horizontal="left" indent="1"/>
    </xf>
    <xf numFmtId="164" fontId="0" fillId="0" borderId="0" xfId="0" applyNumberFormat="1"/>
    <xf numFmtId="1" fontId="0" fillId="0" borderId="0" xfId="0" applyNumberFormat="1" applyAlignment="1">
      <alignment horizontal="right" indent="1"/>
    </xf>
    <xf numFmtId="0" fontId="0" fillId="0" borderId="0" xfId="0" applyAlignment="1">
      <alignment horizontal="center"/>
    </xf>
    <xf numFmtId="167" fontId="0" fillId="0" borderId="0" xfId="0" applyNumberFormat="1"/>
    <xf numFmtId="0" fontId="6" fillId="0" borderId="0" xfId="0" applyFont="1" applyAlignment="1">
      <alignment horizontal="center"/>
    </xf>
    <xf numFmtId="164" fontId="6" fillId="0" borderId="0" xfId="0" applyNumberFormat="1" applyFont="1" applyAlignment="1">
      <alignment horizontal="center"/>
    </xf>
    <xf numFmtId="164" fontId="3" fillId="0" borderId="4" xfId="0" applyNumberFormat="1" applyFont="1" applyBorder="1" applyAlignment="1">
      <alignment horizontal="right" indent="3"/>
    </xf>
    <xf numFmtId="164" fontId="3" fillId="0" borderId="5" xfId="0" applyNumberFormat="1" applyFont="1" applyBorder="1" applyAlignment="1">
      <alignment horizontal="center"/>
    </xf>
    <xf numFmtId="164" fontId="3" fillId="0" borderId="9" xfId="0" applyNumberFormat="1" applyFont="1" applyBorder="1" applyAlignment="1">
      <alignment horizontal="center"/>
    </xf>
    <xf numFmtId="164" fontId="3" fillId="0" borderId="10" xfId="0" applyNumberFormat="1" applyFont="1" applyBorder="1" applyAlignment="1">
      <alignment horizontal="center"/>
    </xf>
    <xf numFmtId="167" fontId="3" fillId="0" borderId="0" xfId="0" applyNumberFormat="1" applyFont="1"/>
    <xf numFmtId="164" fontId="0" fillId="0" borderId="8" xfId="0" applyNumberFormat="1" applyBorder="1" applyAlignment="1">
      <alignment horizontal="right" indent="3"/>
    </xf>
    <xf numFmtId="2" fontId="1" fillId="0" borderId="3" xfId="0" applyNumberFormat="1" applyFont="1" applyBorder="1" applyAlignment="1">
      <alignment horizontal="right" indent="1"/>
    </xf>
    <xf numFmtId="2" fontId="1" fillId="0" borderId="12" xfId="0" applyNumberFormat="1" applyFont="1" applyBorder="1" applyAlignment="1">
      <alignment horizontal="right" indent="1"/>
    </xf>
    <xf numFmtId="2" fontId="1" fillId="0" borderId="13" xfId="0" applyNumberFormat="1" applyFont="1" applyBorder="1" applyAlignment="1">
      <alignment horizontal="right" indent="1"/>
    </xf>
    <xf numFmtId="0" fontId="1" fillId="0" borderId="13" xfId="0" applyFont="1" applyBorder="1" applyAlignment="1">
      <alignment horizontal="right" indent="1"/>
    </xf>
    <xf numFmtId="2" fontId="0" fillId="0" borderId="12" xfId="0" applyNumberFormat="1" applyBorder="1" applyAlignment="1">
      <alignment horizontal="right" indent="1"/>
    </xf>
    <xf numFmtId="2" fontId="0" fillId="0" borderId="13" xfId="0" applyNumberFormat="1" applyBorder="1" applyAlignment="1">
      <alignment horizontal="right" indent="1"/>
    </xf>
    <xf numFmtId="164" fontId="0" fillId="0" borderId="14" xfId="0" applyNumberFormat="1" applyBorder="1" applyAlignment="1">
      <alignment horizontal="right" indent="1"/>
    </xf>
    <xf numFmtId="164" fontId="0" fillId="0" borderId="1" xfId="0" applyNumberFormat="1" applyBorder="1" applyAlignment="1">
      <alignment horizontal="right" indent="3"/>
    </xf>
    <xf numFmtId="1" fontId="0" fillId="0" borderId="1" xfId="0" applyNumberFormat="1" applyBorder="1" applyAlignment="1">
      <alignment horizontal="right" indent="3"/>
    </xf>
    <xf numFmtId="164" fontId="1" fillId="0" borderId="14" xfId="0" applyNumberFormat="1" applyFont="1" applyBorder="1" applyAlignment="1">
      <alignment horizontal="center"/>
    </xf>
    <xf numFmtId="164" fontId="0" fillId="0" borderId="12" xfId="0" applyNumberFormat="1" applyBorder="1" applyAlignment="1">
      <alignment horizontal="right" indent="1"/>
    </xf>
    <xf numFmtId="164" fontId="0" fillId="0" borderId="13" xfId="0" applyNumberFormat="1" applyBorder="1" applyAlignment="1">
      <alignment horizontal="right" indent="1"/>
    </xf>
    <xf numFmtId="164" fontId="3" fillId="0" borderId="11" xfId="0" applyNumberFormat="1" applyFont="1" applyBorder="1" applyAlignment="1">
      <alignment horizontal="center"/>
    </xf>
    <xf numFmtId="2" fontId="1" fillId="0" borderId="14" xfId="0" applyNumberFormat="1" applyFont="1" applyBorder="1" applyAlignment="1">
      <alignment horizontal="right" indent="1"/>
    </xf>
    <xf numFmtId="164" fontId="3" fillId="0" borderId="15" xfId="0" applyNumberFormat="1" applyFont="1" applyBorder="1" applyAlignment="1">
      <alignment horizontal="center"/>
    </xf>
    <xf numFmtId="2" fontId="1" fillId="0" borderId="17" xfId="0" applyNumberFormat="1" applyFont="1" applyBorder="1" applyAlignment="1">
      <alignment horizontal="right" indent="1"/>
    </xf>
    <xf numFmtId="164" fontId="0" fillId="0" borderId="18" xfId="0" applyNumberFormat="1" applyBorder="1" applyAlignment="1">
      <alignment horizontal="right" indent="1"/>
    </xf>
    <xf numFmtId="0" fontId="3" fillId="0" borderId="1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2" fontId="0" fillId="0" borderId="17" xfId="0" applyNumberFormat="1" applyBorder="1" applyAlignment="1">
      <alignment horizontal="right" indent="1"/>
    </xf>
    <xf numFmtId="2" fontId="0" fillId="0" borderId="19" xfId="0" applyNumberFormat="1" applyBorder="1" applyAlignment="1">
      <alignment horizontal="right" indent="1"/>
    </xf>
    <xf numFmtId="2" fontId="1" fillId="0" borderId="13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64" fontId="1" fillId="0" borderId="13" xfId="0" applyNumberFormat="1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167" fontId="3" fillId="0" borderId="16" xfId="0" applyNumberFormat="1" applyFont="1" applyBorder="1" applyAlignment="1">
      <alignment horizontal="center"/>
    </xf>
    <xf numFmtId="1" fontId="3" fillId="0" borderId="10" xfId="0" applyNumberFormat="1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1" fontId="0" fillId="0" borderId="20" xfId="0" applyNumberFormat="1" applyBorder="1" applyAlignment="1">
      <alignment horizontal="right" indent="3"/>
    </xf>
    <xf numFmtId="2" fontId="1" fillId="0" borderId="21" xfId="0" applyNumberFormat="1" applyFont="1" applyBorder="1" applyAlignment="1">
      <alignment horizontal="right" indent="1"/>
    </xf>
    <xf numFmtId="2" fontId="1" fillId="0" borderId="22" xfId="0" applyNumberFormat="1" applyFont="1" applyBorder="1" applyAlignment="1">
      <alignment horizontal="right" indent="1"/>
    </xf>
    <xf numFmtId="2" fontId="1" fillId="0" borderId="23" xfId="0" applyNumberFormat="1" applyFont="1" applyBorder="1" applyAlignment="1">
      <alignment horizontal="right" indent="1"/>
    </xf>
    <xf numFmtId="2" fontId="1" fillId="0" borderId="24" xfId="0" applyNumberFormat="1" applyFont="1" applyBorder="1" applyAlignment="1">
      <alignment horizontal="right" indent="1"/>
    </xf>
    <xf numFmtId="2" fontId="1" fillId="0" borderId="25" xfId="0" applyNumberFormat="1" applyFont="1" applyBorder="1" applyAlignment="1">
      <alignment horizontal="right" indent="1"/>
    </xf>
    <xf numFmtId="164" fontId="0" fillId="0" borderId="22" xfId="0" applyNumberFormat="1" applyBorder="1" applyAlignment="1">
      <alignment horizontal="right" indent="1"/>
    </xf>
    <xf numFmtId="0" fontId="1" fillId="0" borderId="23" xfId="0" applyFont="1" applyBorder="1" applyAlignment="1">
      <alignment horizontal="right" indent="1"/>
    </xf>
    <xf numFmtId="164" fontId="1" fillId="0" borderId="22" xfId="0" applyNumberFormat="1" applyFont="1" applyBorder="1" applyAlignment="1">
      <alignment horizontal="center"/>
    </xf>
    <xf numFmtId="164" fontId="0" fillId="0" borderId="23" xfId="0" applyNumberFormat="1" applyBorder="1" applyAlignment="1">
      <alignment horizontal="right" indent="1"/>
    </xf>
    <xf numFmtId="2" fontId="1" fillId="0" borderId="23" xfId="0" applyNumberFormat="1" applyFont="1" applyBorder="1" applyAlignment="1">
      <alignment horizontal="center"/>
    </xf>
    <xf numFmtId="164" fontId="1" fillId="0" borderId="24" xfId="0" applyNumberFormat="1" applyFont="1" applyBorder="1" applyAlignment="1">
      <alignment horizontal="center"/>
    </xf>
    <xf numFmtId="164" fontId="0" fillId="0" borderId="24" xfId="0" applyNumberFormat="1" applyBorder="1" applyAlignment="1">
      <alignment horizontal="right" indent="1"/>
    </xf>
    <xf numFmtId="164" fontId="1" fillId="0" borderId="23" xfId="0" applyNumberFormat="1" applyFont="1" applyBorder="1" applyAlignment="1">
      <alignment horizontal="center"/>
    </xf>
    <xf numFmtId="164" fontId="0" fillId="0" borderId="26" xfId="0" applyNumberFormat="1" applyBorder="1" applyAlignment="1">
      <alignment horizontal="right" indent="1"/>
    </xf>
    <xf numFmtId="2" fontId="0" fillId="0" borderId="27" xfId="0" applyNumberFormat="1" applyBorder="1" applyAlignment="1">
      <alignment horizontal="right" indent="1"/>
    </xf>
    <xf numFmtId="2" fontId="0" fillId="0" borderId="22" xfId="0" applyNumberFormat="1" applyBorder="1" applyAlignment="1">
      <alignment horizontal="right" indent="1"/>
    </xf>
    <xf numFmtId="2" fontId="0" fillId="0" borderId="23" xfId="0" applyNumberFormat="1" applyBorder="1" applyAlignment="1">
      <alignment horizontal="right" indent="1"/>
    </xf>
    <xf numFmtId="164" fontId="0" fillId="0" borderId="0" xfId="0" applyNumberFormat="1" applyAlignment="1">
      <alignment horizontal="center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67" fontId="0" fillId="0" borderId="0" xfId="0" applyNumberFormat="1" applyAlignment="1">
      <alignment horizontal="left"/>
    </xf>
    <xf numFmtId="3" fontId="0" fillId="0" borderId="0" xfId="0" applyNumberFormat="1" applyAlignment="1">
      <alignment horizontal="left"/>
    </xf>
    <xf numFmtId="2" fontId="0" fillId="0" borderId="0" xfId="0" applyNumberFormat="1" applyAlignment="1">
      <alignment horizontal="left"/>
    </xf>
    <xf numFmtId="0" fontId="0" fillId="0" borderId="0" xfId="0" applyProtection="1">
      <protection locked="0"/>
    </xf>
    <xf numFmtId="167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64" fontId="0" fillId="0" borderId="0" xfId="0" applyNumberFormat="1" applyAlignment="1" applyProtection="1">
      <alignment horizontal="right" indent="1"/>
      <protection locked="0"/>
    </xf>
    <xf numFmtId="3" fontId="0" fillId="0" borderId="0" xfId="0" applyNumberFormat="1" applyAlignment="1" applyProtection="1">
      <alignment horizontal="right" indent="1"/>
      <protection locked="0"/>
    </xf>
    <xf numFmtId="0" fontId="8" fillId="0" borderId="0" xfId="0" applyFont="1" applyAlignment="1" applyProtection="1">
      <alignment horizontal="left" vertical="center" indent="1"/>
      <protection locked="0"/>
    </xf>
    <xf numFmtId="0" fontId="0" fillId="0" borderId="0" xfId="0" applyAlignment="1" applyProtection="1">
      <alignment horizontal="left" vertical="center" indent="1"/>
      <protection locked="0"/>
    </xf>
    <xf numFmtId="0" fontId="7" fillId="0" borderId="0" xfId="0" applyFont="1" applyProtection="1">
      <protection locked="0"/>
    </xf>
    <xf numFmtId="0" fontId="4" fillId="0" borderId="0" xfId="0" applyFont="1" applyProtection="1">
      <protection locked="0"/>
    </xf>
    <xf numFmtId="164" fontId="0" fillId="0" borderId="0" xfId="0" applyNumberFormat="1" applyAlignment="1" applyProtection="1">
      <alignment horizontal="left" indent="1"/>
      <protection locked="0"/>
    </xf>
    <xf numFmtId="0" fontId="0" fillId="0" borderId="0" xfId="0" applyAlignment="1" applyProtection="1">
      <alignment horizontal="right" indent="1"/>
      <protection locked="0"/>
    </xf>
    <xf numFmtId="166" fontId="0" fillId="0" borderId="0" xfId="0" applyNumberFormat="1" applyAlignment="1" applyProtection="1">
      <alignment horizontal="right" indent="1"/>
      <protection locked="0"/>
    </xf>
    <xf numFmtId="2" fontId="0" fillId="0" borderId="0" xfId="0" applyNumberFormat="1" applyAlignment="1" applyProtection="1">
      <alignment horizontal="right" indent="1"/>
      <protection locked="0"/>
    </xf>
    <xf numFmtId="168" fontId="0" fillId="0" borderId="0" xfId="0" applyNumberFormat="1" applyAlignment="1" applyProtection="1">
      <alignment horizontal="right" indent="1"/>
      <protection locked="0"/>
    </xf>
    <xf numFmtId="2" fontId="0" fillId="0" borderId="0" xfId="0" applyNumberFormat="1" applyProtection="1">
      <protection locked="0"/>
    </xf>
    <xf numFmtId="169" fontId="0" fillId="0" borderId="0" xfId="0" applyNumberFormat="1" applyProtection="1">
      <protection locked="0"/>
    </xf>
    <xf numFmtId="164" fontId="4" fillId="0" borderId="0" xfId="0" applyNumberFormat="1" applyFont="1" applyAlignment="1" applyProtection="1">
      <alignment horizontal="left" indent="1"/>
      <protection locked="0"/>
    </xf>
    <xf numFmtId="165" fontId="0" fillId="0" borderId="0" xfId="0" applyNumberFormat="1" applyAlignment="1" applyProtection="1">
      <alignment horizontal="right" indent="1"/>
      <protection locked="0"/>
    </xf>
    <xf numFmtId="168" fontId="0" fillId="0" borderId="0" xfId="0" applyNumberFormat="1" applyAlignment="1" applyProtection="1">
      <alignment horizontal="right" vertical="top" indent="1"/>
      <protection locked="0"/>
    </xf>
    <xf numFmtId="167" fontId="2" fillId="0" borderId="0" xfId="0" applyNumberFormat="1" applyFont="1" applyProtection="1">
      <protection locked="0"/>
    </xf>
    <xf numFmtId="164" fontId="5" fillId="0" borderId="0" xfId="0" applyNumberFormat="1" applyFont="1" applyAlignment="1">
      <alignment horizontal="left" indent="1"/>
    </xf>
    <xf numFmtId="164" fontId="0" fillId="0" borderId="0" xfId="0" applyNumberFormat="1" applyAlignment="1">
      <alignment horizontal="left" vertical="top" indent="1"/>
    </xf>
    <xf numFmtId="2" fontId="0" fillId="0" borderId="0" xfId="0" applyNumberFormat="1" applyAlignment="1">
      <alignment horizontal="right" vertical="top" indent="1"/>
    </xf>
    <xf numFmtId="166" fontId="0" fillId="0" borderId="0" xfId="0" applyNumberFormat="1" applyAlignment="1">
      <alignment horizontal="right" indent="1"/>
    </xf>
    <xf numFmtId="0" fontId="0" fillId="0" borderId="0" xfId="0" applyAlignment="1">
      <alignment horizontal="right" indent="1"/>
    </xf>
    <xf numFmtId="164" fontId="9" fillId="0" borderId="0" xfId="0" applyNumberFormat="1" applyFont="1" applyAlignment="1">
      <alignment horizontal="left" indent="1"/>
    </xf>
    <xf numFmtId="0" fontId="0" fillId="2" borderId="0" xfId="0" applyFill="1" applyAlignment="1" applyProtection="1">
      <alignment horizontal="right" indent="1"/>
      <protection locked="0"/>
    </xf>
    <xf numFmtId="166" fontId="0" fillId="2" borderId="0" xfId="0" applyNumberFormat="1" applyFill="1" applyAlignment="1" applyProtection="1">
      <alignment horizontal="right" indent="1"/>
      <protection locked="0"/>
    </xf>
    <xf numFmtId="3" fontId="0" fillId="2" borderId="0" xfId="0" applyNumberFormat="1" applyFill="1" applyAlignment="1" applyProtection="1">
      <alignment horizontal="right" indent="1"/>
      <protection locked="0"/>
    </xf>
    <xf numFmtId="2" fontId="0" fillId="2" borderId="0" xfId="0" applyNumberFormat="1" applyFill="1" applyAlignment="1" applyProtection="1">
      <alignment horizontal="right" indent="1"/>
      <protection locked="0"/>
    </xf>
    <xf numFmtId="168" fontId="0" fillId="2" borderId="0" xfId="0" applyNumberFormat="1" applyFill="1" applyAlignment="1" applyProtection="1">
      <alignment horizontal="right" indent="1"/>
      <protection locked="0"/>
    </xf>
    <xf numFmtId="164" fontId="0" fillId="2" borderId="0" xfId="0" applyNumberFormat="1" applyFill="1" applyAlignment="1" applyProtection="1">
      <alignment horizontal="right" indent="1"/>
      <protection locked="0"/>
    </xf>
    <xf numFmtId="164" fontId="0" fillId="2" borderId="0" xfId="0" applyNumberFormat="1" applyFill="1" applyAlignment="1">
      <alignment horizontal="left" indent="1"/>
    </xf>
    <xf numFmtId="165" fontId="0" fillId="2" borderId="0" xfId="0" applyNumberFormat="1" applyFill="1" applyAlignment="1" applyProtection="1">
      <alignment horizontal="right" indent="1"/>
      <protection locked="0"/>
    </xf>
    <xf numFmtId="0" fontId="0" fillId="0" borderId="0" xfId="0" applyAlignment="1">
      <alignment horizontal="left" vertical="center" indent="1"/>
    </xf>
    <xf numFmtId="0" fontId="8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164" fontId="6" fillId="0" borderId="2" xfId="0" applyNumberFormat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1" fillId="0" borderId="0" xfId="0" applyFont="1" applyAlignment="1">
      <alignment horizontal="left" vertical="center" indent="1"/>
    </xf>
    <xf numFmtId="0" fontId="0" fillId="0" borderId="0" xfId="0" applyAlignment="1">
      <alignment horizontal="left" indent="1"/>
    </xf>
    <xf numFmtId="164" fontId="0" fillId="2" borderId="0" xfId="1" applyNumberFormat="1" applyFont="1" applyFill="1" applyAlignment="1" applyProtection="1">
      <alignment horizontal="right" indent="1"/>
      <protection locked="0"/>
    </xf>
    <xf numFmtId="0" fontId="5" fillId="0" borderId="0" xfId="0" applyFont="1" applyAlignment="1">
      <alignment horizontal="left" indent="1"/>
    </xf>
    <xf numFmtId="174" fontId="0" fillId="0" borderId="0" xfId="0" applyNumberFormat="1" applyAlignment="1">
      <alignment horizontal="right" inden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Frequency</a:t>
            </a:r>
            <a:r>
              <a:rPr lang="en-US" baseline="0"/>
              <a:t> Response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3"/>
          <c:order val="0"/>
          <c:tx>
            <c:v>System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Calculations!$B$11:$B$211</c:f>
              <c:numCache>
                <c:formatCode>0.0</c:formatCode>
                <c:ptCount val="201"/>
                <c:pt idx="0">
                  <c:v>10</c:v>
                </c:pt>
                <c:pt idx="1">
                  <c:v>10.199999999999999</c:v>
                </c:pt>
                <c:pt idx="2">
                  <c:v>10.5</c:v>
                </c:pt>
                <c:pt idx="3">
                  <c:v>10.7</c:v>
                </c:pt>
                <c:pt idx="4">
                  <c:v>11</c:v>
                </c:pt>
                <c:pt idx="5">
                  <c:v>11.2</c:v>
                </c:pt>
                <c:pt idx="6">
                  <c:v>11.5</c:v>
                </c:pt>
                <c:pt idx="7">
                  <c:v>11.7</c:v>
                </c:pt>
                <c:pt idx="8">
                  <c:v>12</c:v>
                </c:pt>
                <c:pt idx="9">
                  <c:v>12.3</c:v>
                </c:pt>
                <c:pt idx="10">
                  <c:v>12.6</c:v>
                </c:pt>
                <c:pt idx="11">
                  <c:v>12.9</c:v>
                </c:pt>
                <c:pt idx="12">
                  <c:v>13.2</c:v>
                </c:pt>
                <c:pt idx="13">
                  <c:v>13.5</c:v>
                </c:pt>
                <c:pt idx="14">
                  <c:v>13.8</c:v>
                </c:pt>
                <c:pt idx="15">
                  <c:v>14.1</c:v>
                </c:pt>
                <c:pt idx="16">
                  <c:v>14.5</c:v>
                </c:pt>
                <c:pt idx="17">
                  <c:v>14.8</c:v>
                </c:pt>
                <c:pt idx="18">
                  <c:v>15.1</c:v>
                </c:pt>
                <c:pt idx="19">
                  <c:v>15.5</c:v>
                </c:pt>
                <c:pt idx="20">
                  <c:v>15.8</c:v>
                </c:pt>
                <c:pt idx="21">
                  <c:v>16.2</c:v>
                </c:pt>
                <c:pt idx="22">
                  <c:v>16.600000000000001</c:v>
                </c:pt>
                <c:pt idx="23">
                  <c:v>17</c:v>
                </c:pt>
                <c:pt idx="24">
                  <c:v>17.399999999999999</c:v>
                </c:pt>
                <c:pt idx="25">
                  <c:v>17.8</c:v>
                </c:pt>
                <c:pt idx="26">
                  <c:v>18.2</c:v>
                </c:pt>
                <c:pt idx="27">
                  <c:v>18.600000000000001</c:v>
                </c:pt>
                <c:pt idx="28">
                  <c:v>19.100000000000001</c:v>
                </c:pt>
                <c:pt idx="29">
                  <c:v>19.5</c:v>
                </c:pt>
                <c:pt idx="30">
                  <c:v>20</c:v>
                </c:pt>
                <c:pt idx="31">
                  <c:v>20.399999999999999</c:v>
                </c:pt>
                <c:pt idx="32">
                  <c:v>20.9</c:v>
                </c:pt>
                <c:pt idx="33">
                  <c:v>21.4</c:v>
                </c:pt>
                <c:pt idx="34">
                  <c:v>21.9</c:v>
                </c:pt>
                <c:pt idx="35">
                  <c:v>22.4</c:v>
                </c:pt>
                <c:pt idx="36">
                  <c:v>22.9</c:v>
                </c:pt>
                <c:pt idx="37">
                  <c:v>23.4</c:v>
                </c:pt>
                <c:pt idx="38">
                  <c:v>24</c:v>
                </c:pt>
                <c:pt idx="39">
                  <c:v>24.5</c:v>
                </c:pt>
                <c:pt idx="40">
                  <c:v>25.1</c:v>
                </c:pt>
                <c:pt idx="41">
                  <c:v>25.7</c:v>
                </c:pt>
                <c:pt idx="42">
                  <c:v>26.3</c:v>
                </c:pt>
                <c:pt idx="43">
                  <c:v>26.9</c:v>
                </c:pt>
                <c:pt idx="44">
                  <c:v>27.5</c:v>
                </c:pt>
                <c:pt idx="45">
                  <c:v>28.2</c:v>
                </c:pt>
                <c:pt idx="46">
                  <c:v>28.8</c:v>
                </c:pt>
                <c:pt idx="47">
                  <c:v>29.5</c:v>
                </c:pt>
                <c:pt idx="48">
                  <c:v>30.2</c:v>
                </c:pt>
                <c:pt idx="49">
                  <c:v>30.9</c:v>
                </c:pt>
                <c:pt idx="50">
                  <c:v>31.6</c:v>
                </c:pt>
                <c:pt idx="51">
                  <c:v>32.4</c:v>
                </c:pt>
                <c:pt idx="52">
                  <c:v>33.1</c:v>
                </c:pt>
                <c:pt idx="53">
                  <c:v>33.9</c:v>
                </c:pt>
                <c:pt idx="54">
                  <c:v>34.700000000000003</c:v>
                </c:pt>
                <c:pt idx="55">
                  <c:v>35.5</c:v>
                </c:pt>
                <c:pt idx="56">
                  <c:v>36.299999999999997</c:v>
                </c:pt>
                <c:pt idx="57">
                  <c:v>37.200000000000003</c:v>
                </c:pt>
                <c:pt idx="58">
                  <c:v>38</c:v>
                </c:pt>
                <c:pt idx="59">
                  <c:v>38.9</c:v>
                </c:pt>
                <c:pt idx="60">
                  <c:v>39.799999999999997</c:v>
                </c:pt>
                <c:pt idx="61">
                  <c:v>40.700000000000003</c:v>
                </c:pt>
                <c:pt idx="62">
                  <c:v>41.7</c:v>
                </c:pt>
                <c:pt idx="63">
                  <c:v>42.7</c:v>
                </c:pt>
                <c:pt idx="64">
                  <c:v>43.7</c:v>
                </c:pt>
                <c:pt idx="65">
                  <c:v>44.7</c:v>
                </c:pt>
                <c:pt idx="66">
                  <c:v>45.7</c:v>
                </c:pt>
                <c:pt idx="67">
                  <c:v>46.8</c:v>
                </c:pt>
                <c:pt idx="68">
                  <c:v>47.9</c:v>
                </c:pt>
                <c:pt idx="69">
                  <c:v>49</c:v>
                </c:pt>
                <c:pt idx="70">
                  <c:v>50.1</c:v>
                </c:pt>
                <c:pt idx="71">
                  <c:v>51.3</c:v>
                </c:pt>
                <c:pt idx="72">
                  <c:v>52.5</c:v>
                </c:pt>
                <c:pt idx="73">
                  <c:v>53.7</c:v>
                </c:pt>
                <c:pt idx="74">
                  <c:v>55</c:v>
                </c:pt>
                <c:pt idx="75">
                  <c:v>56.2</c:v>
                </c:pt>
                <c:pt idx="76">
                  <c:v>57.5</c:v>
                </c:pt>
                <c:pt idx="77">
                  <c:v>58.9</c:v>
                </c:pt>
                <c:pt idx="78">
                  <c:v>60.3</c:v>
                </c:pt>
                <c:pt idx="79">
                  <c:v>61.7</c:v>
                </c:pt>
                <c:pt idx="80">
                  <c:v>63.1</c:v>
                </c:pt>
                <c:pt idx="81">
                  <c:v>64.599999999999994</c:v>
                </c:pt>
                <c:pt idx="82">
                  <c:v>66.099999999999994</c:v>
                </c:pt>
                <c:pt idx="83">
                  <c:v>67.599999999999994</c:v>
                </c:pt>
                <c:pt idx="84">
                  <c:v>69.2</c:v>
                </c:pt>
                <c:pt idx="85">
                  <c:v>70.8</c:v>
                </c:pt>
                <c:pt idx="86">
                  <c:v>72.400000000000006</c:v>
                </c:pt>
                <c:pt idx="87">
                  <c:v>74.099999999999994</c:v>
                </c:pt>
                <c:pt idx="88">
                  <c:v>75.900000000000006</c:v>
                </c:pt>
                <c:pt idx="89">
                  <c:v>77.599999999999994</c:v>
                </c:pt>
                <c:pt idx="90">
                  <c:v>79.400000000000006</c:v>
                </c:pt>
                <c:pt idx="91">
                  <c:v>81.3</c:v>
                </c:pt>
                <c:pt idx="92">
                  <c:v>83.2</c:v>
                </c:pt>
                <c:pt idx="93">
                  <c:v>85.1</c:v>
                </c:pt>
                <c:pt idx="94">
                  <c:v>87.1</c:v>
                </c:pt>
                <c:pt idx="95">
                  <c:v>89.1</c:v>
                </c:pt>
                <c:pt idx="96">
                  <c:v>91.2</c:v>
                </c:pt>
                <c:pt idx="97">
                  <c:v>93.3</c:v>
                </c:pt>
                <c:pt idx="98">
                  <c:v>95.5</c:v>
                </c:pt>
                <c:pt idx="99">
                  <c:v>97.7</c:v>
                </c:pt>
                <c:pt idx="100" formatCode="0">
                  <c:v>100</c:v>
                </c:pt>
                <c:pt idx="101" formatCode="0">
                  <c:v>102</c:v>
                </c:pt>
                <c:pt idx="102" formatCode="0">
                  <c:v>105</c:v>
                </c:pt>
                <c:pt idx="103" formatCode="0">
                  <c:v>107</c:v>
                </c:pt>
                <c:pt idx="104" formatCode="0">
                  <c:v>110</c:v>
                </c:pt>
                <c:pt idx="105" formatCode="0">
                  <c:v>112</c:v>
                </c:pt>
                <c:pt idx="106" formatCode="0">
                  <c:v>115</c:v>
                </c:pt>
                <c:pt idx="107" formatCode="0">
                  <c:v>117</c:v>
                </c:pt>
                <c:pt idx="108" formatCode="0">
                  <c:v>120</c:v>
                </c:pt>
                <c:pt idx="109" formatCode="0">
                  <c:v>123</c:v>
                </c:pt>
                <c:pt idx="110" formatCode="0">
                  <c:v>126</c:v>
                </c:pt>
                <c:pt idx="111" formatCode="0">
                  <c:v>129</c:v>
                </c:pt>
                <c:pt idx="112" formatCode="0">
                  <c:v>132</c:v>
                </c:pt>
                <c:pt idx="113" formatCode="0">
                  <c:v>135</c:v>
                </c:pt>
                <c:pt idx="114" formatCode="0">
                  <c:v>138</c:v>
                </c:pt>
                <c:pt idx="115" formatCode="0">
                  <c:v>141</c:v>
                </c:pt>
                <c:pt idx="116" formatCode="0">
                  <c:v>145</c:v>
                </c:pt>
                <c:pt idx="117" formatCode="0">
                  <c:v>148</c:v>
                </c:pt>
                <c:pt idx="118" formatCode="0">
                  <c:v>151</c:v>
                </c:pt>
                <c:pt idx="119" formatCode="0">
                  <c:v>155</c:v>
                </c:pt>
                <c:pt idx="120" formatCode="0">
                  <c:v>158</c:v>
                </c:pt>
                <c:pt idx="121" formatCode="0">
                  <c:v>162</c:v>
                </c:pt>
                <c:pt idx="122" formatCode="0">
                  <c:v>166</c:v>
                </c:pt>
                <c:pt idx="123" formatCode="0">
                  <c:v>170</c:v>
                </c:pt>
                <c:pt idx="124" formatCode="0">
                  <c:v>174</c:v>
                </c:pt>
                <c:pt idx="125" formatCode="0">
                  <c:v>178</c:v>
                </c:pt>
                <c:pt idx="126" formatCode="0">
                  <c:v>182</c:v>
                </c:pt>
                <c:pt idx="127" formatCode="0">
                  <c:v>186</c:v>
                </c:pt>
                <c:pt idx="128" formatCode="0">
                  <c:v>191</c:v>
                </c:pt>
                <c:pt idx="129" formatCode="0">
                  <c:v>195</c:v>
                </c:pt>
                <c:pt idx="130" formatCode="0">
                  <c:v>200</c:v>
                </c:pt>
                <c:pt idx="131" formatCode="0">
                  <c:v>204</c:v>
                </c:pt>
                <c:pt idx="132" formatCode="0">
                  <c:v>209</c:v>
                </c:pt>
                <c:pt idx="133" formatCode="0">
                  <c:v>214</c:v>
                </c:pt>
                <c:pt idx="134" formatCode="0">
                  <c:v>219</c:v>
                </c:pt>
                <c:pt idx="135" formatCode="0">
                  <c:v>224</c:v>
                </c:pt>
                <c:pt idx="136" formatCode="0">
                  <c:v>229</c:v>
                </c:pt>
                <c:pt idx="137" formatCode="0">
                  <c:v>234</c:v>
                </c:pt>
                <c:pt idx="138" formatCode="0">
                  <c:v>240</c:v>
                </c:pt>
                <c:pt idx="139" formatCode="0">
                  <c:v>245</c:v>
                </c:pt>
                <c:pt idx="140" formatCode="0">
                  <c:v>251</c:v>
                </c:pt>
                <c:pt idx="141" formatCode="0">
                  <c:v>257</c:v>
                </c:pt>
                <c:pt idx="142" formatCode="0">
                  <c:v>263</c:v>
                </c:pt>
                <c:pt idx="143" formatCode="0">
                  <c:v>269</c:v>
                </c:pt>
                <c:pt idx="144" formatCode="0">
                  <c:v>275</c:v>
                </c:pt>
                <c:pt idx="145" formatCode="0">
                  <c:v>282</c:v>
                </c:pt>
                <c:pt idx="146" formatCode="0">
                  <c:v>288</c:v>
                </c:pt>
                <c:pt idx="147" formatCode="0">
                  <c:v>295</c:v>
                </c:pt>
                <c:pt idx="148" formatCode="0">
                  <c:v>302</c:v>
                </c:pt>
                <c:pt idx="149" formatCode="0">
                  <c:v>309</c:v>
                </c:pt>
                <c:pt idx="150" formatCode="0">
                  <c:v>316</c:v>
                </c:pt>
                <c:pt idx="151" formatCode="0">
                  <c:v>324</c:v>
                </c:pt>
                <c:pt idx="152" formatCode="0">
                  <c:v>331</c:v>
                </c:pt>
                <c:pt idx="153" formatCode="0">
                  <c:v>339</c:v>
                </c:pt>
                <c:pt idx="154" formatCode="0">
                  <c:v>347</c:v>
                </c:pt>
                <c:pt idx="155" formatCode="0">
                  <c:v>355</c:v>
                </c:pt>
                <c:pt idx="156" formatCode="0">
                  <c:v>363</c:v>
                </c:pt>
                <c:pt idx="157" formatCode="0">
                  <c:v>372</c:v>
                </c:pt>
                <c:pt idx="158" formatCode="0">
                  <c:v>380</c:v>
                </c:pt>
                <c:pt idx="159" formatCode="0">
                  <c:v>389</c:v>
                </c:pt>
                <c:pt idx="160" formatCode="0">
                  <c:v>398</c:v>
                </c:pt>
                <c:pt idx="161" formatCode="0">
                  <c:v>407</c:v>
                </c:pt>
                <c:pt idx="162" formatCode="0">
                  <c:v>417</c:v>
                </c:pt>
                <c:pt idx="163" formatCode="0">
                  <c:v>427</c:v>
                </c:pt>
                <c:pt idx="164" formatCode="0">
                  <c:v>437</c:v>
                </c:pt>
                <c:pt idx="165" formatCode="0">
                  <c:v>447</c:v>
                </c:pt>
                <c:pt idx="166" formatCode="0">
                  <c:v>457</c:v>
                </c:pt>
                <c:pt idx="167" formatCode="0">
                  <c:v>468</c:v>
                </c:pt>
                <c:pt idx="168" formatCode="0">
                  <c:v>479</c:v>
                </c:pt>
                <c:pt idx="169" formatCode="0">
                  <c:v>490</c:v>
                </c:pt>
                <c:pt idx="170" formatCode="0">
                  <c:v>501</c:v>
                </c:pt>
                <c:pt idx="171" formatCode="0">
                  <c:v>513</c:v>
                </c:pt>
                <c:pt idx="172" formatCode="0">
                  <c:v>525</c:v>
                </c:pt>
                <c:pt idx="173" formatCode="0">
                  <c:v>537</c:v>
                </c:pt>
                <c:pt idx="174" formatCode="0">
                  <c:v>550</c:v>
                </c:pt>
                <c:pt idx="175" formatCode="0">
                  <c:v>562</c:v>
                </c:pt>
                <c:pt idx="176" formatCode="0">
                  <c:v>575</c:v>
                </c:pt>
                <c:pt idx="177" formatCode="0">
                  <c:v>589</c:v>
                </c:pt>
                <c:pt idx="178" formatCode="0">
                  <c:v>603</c:v>
                </c:pt>
                <c:pt idx="179" formatCode="0">
                  <c:v>617</c:v>
                </c:pt>
                <c:pt idx="180" formatCode="0">
                  <c:v>631</c:v>
                </c:pt>
                <c:pt idx="181" formatCode="0">
                  <c:v>646</c:v>
                </c:pt>
                <c:pt idx="182" formatCode="0">
                  <c:v>661</c:v>
                </c:pt>
                <c:pt idx="183" formatCode="0">
                  <c:v>676</c:v>
                </c:pt>
                <c:pt idx="184" formatCode="0">
                  <c:v>692</c:v>
                </c:pt>
                <c:pt idx="185" formatCode="0">
                  <c:v>708</c:v>
                </c:pt>
                <c:pt idx="186" formatCode="0">
                  <c:v>724</c:v>
                </c:pt>
                <c:pt idx="187" formatCode="0">
                  <c:v>741</c:v>
                </c:pt>
                <c:pt idx="188" formatCode="0">
                  <c:v>759</c:v>
                </c:pt>
                <c:pt idx="189" formatCode="0">
                  <c:v>776</c:v>
                </c:pt>
                <c:pt idx="190" formatCode="0">
                  <c:v>794</c:v>
                </c:pt>
                <c:pt idx="191" formatCode="0">
                  <c:v>813</c:v>
                </c:pt>
                <c:pt idx="192" formatCode="0">
                  <c:v>832</c:v>
                </c:pt>
                <c:pt idx="193" formatCode="0">
                  <c:v>851</c:v>
                </c:pt>
                <c:pt idx="194" formatCode="0">
                  <c:v>871</c:v>
                </c:pt>
                <c:pt idx="195" formatCode="0">
                  <c:v>891</c:v>
                </c:pt>
                <c:pt idx="196" formatCode="0">
                  <c:v>912</c:v>
                </c:pt>
                <c:pt idx="197" formatCode="0">
                  <c:v>933</c:v>
                </c:pt>
                <c:pt idx="198" formatCode="0">
                  <c:v>955</c:v>
                </c:pt>
                <c:pt idx="199" formatCode="0">
                  <c:v>977</c:v>
                </c:pt>
                <c:pt idx="200" formatCode="0">
                  <c:v>1000</c:v>
                </c:pt>
              </c:numCache>
            </c:numRef>
          </c:xVal>
          <c:yVal>
            <c:numRef>
              <c:f>Calculations!$AC$11:$AC$211</c:f>
              <c:numCache>
                <c:formatCode>0.0</c:formatCode>
                <c:ptCount val="201"/>
                <c:pt idx="0">
                  <c:v>66.801155400642898</c:v>
                </c:pt>
                <c:pt idx="1">
                  <c:v>67.489112539680121</c:v>
                </c:pt>
                <c:pt idx="2">
                  <c:v>68.496130903923088</c:v>
                </c:pt>
                <c:pt idx="3">
                  <c:v>69.151593724129299</c:v>
                </c:pt>
                <c:pt idx="4">
                  <c:v>70.11212596098207</c:v>
                </c:pt>
                <c:pt idx="5">
                  <c:v>70.73800415297606</c:v>
                </c:pt>
                <c:pt idx="6">
                  <c:v>71.656116185443523</c:v>
                </c:pt>
                <c:pt idx="7">
                  <c:v>72.254937414887081</c:v>
                </c:pt>
                <c:pt idx="8">
                  <c:v>73.134170934832682</c:v>
                </c:pt>
                <c:pt idx="9">
                  <c:v>73.991590757424177</c:v>
                </c:pt>
                <c:pt idx="10">
                  <c:v>74.828228210512449</c:v>
                </c:pt>
                <c:pt idx="11">
                  <c:v>75.645038653021743</c:v>
                </c:pt>
                <c:pt idx="12">
                  <c:v>76.442908070811725</c:v>
                </c:pt>
                <c:pt idx="13">
                  <c:v>77.222658895030094</c:v>
                </c:pt>
                <c:pt idx="14">
                  <c:v>77.985055143549189</c:v>
                </c:pt>
                <c:pt idx="15">
                  <c:v>78.730806971016975</c:v>
                </c:pt>
                <c:pt idx="16">
                  <c:v>79.700385993298724</c:v>
                </c:pt>
                <c:pt idx="17">
                  <c:v>80.409789278002989</c:v>
                </c:pt>
                <c:pt idx="18">
                  <c:v>81.104574770747618</c:v>
                </c:pt>
                <c:pt idx="19">
                  <c:v>82.009106364033698</c:v>
                </c:pt>
                <c:pt idx="20">
                  <c:v>82.671734024513569</c:v>
                </c:pt>
                <c:pt idx="21">
                  <c:v>83.535036504667318</c:v>
                </c:pt>
                <c:pt idx="22">
                  <c:v>84.376109876253963</c:v>
                </c:pt>
                <c:pt idx="23">
                  <c:v>85.195800656835274</c:v>
                </c:pt>
                <c:pt idx="24">
                  <c:v>85.994865591876689</c:v>
                </c:pt>
                <c:pt idx="25">
                  <c:v>86.773976654179265</c:v>
                </c:pt>
                <c:pt idx="26">
                  <c:v>87.533725387603326</c:v>
                </c:pt>
                <c:pt idx="27">
                  <c:v>88.274626730035948</c:v>
                </c:pt>
                <c:pt idx="28">
                  <c:v>89.17491555406292</c:v>
                </c:pt>
                <c:pt idx="29">
                  <c:v>89.874919099711889</c:v>
                </c:pt>
                <c:pt idx="30">
                  <c:v>90.725112654477556</c:v>
                </c:pt>
                <c:pt idx="31">
                  <c:v>91.385684109835111</c:v>
                </c:pt>
                <c:pt idx="32">
                  <c:v>92.187166783636314</c:v>
                </c:pt>
                <c:pt idx="33">
                  <c:v>92.961880831555447</c:v>
                </c:pt>
                <c:pt idx="34">
                  <c:v>93.709875823116207</c:v>
                </c:pt>
                <c:pt idx="35">
                  <c:v>94.431092052128633</c:v>
                </c:pt>
                <c:pt idx="36">
                  <c:v>95.12537740327528</c:v>
                </c:pt>
                <c:pt idx="37">
                  <c:v>95.79250702602117</c:v>
                </c:pt>
                <c:pt idx="38">
                  <c:v>96.556827720009551</c:v>
                </c:pt>
                <c:pt idx="39">
                  <c:v>97.163213504417243</c:v>
                </c:pt>
                <c:pt idx="40">
                  <c:v>97.853781205976816</c:v>
                </c:pt>
                <c:pt idx="41">
                  <c:v>98.503478672442554</c:v>
                </c:pt>
                <c:pt idx="42">
                  <c:v>99.112025116838936</c:v>
                </c:pt>
                <c:pt idx="43">
                  <c:v>99.679356340949681</c:v>
                </c:pt>
                <c:pt idx="44">
                  <c:v>100.20568137139472</c:v>
                </c:pt>
                <c:pt idx="45">
                  <c:v>100.76861689673964</c:v>
                </c:pt>
                <c:pt idx="46">
                  <c:v>101.20833969130068</c:v>
                </c:pt>
                <c:pt idx="47">
                  <c:v>101.67318060150967</c:v>
                </c:pt>
                <c:pt idx="48">
                  <c:v>102.08856423776687</c:v>
                </c:pt>
                <c:pt idx="49">
                  <c:v>102.4574936458513</c:v>
                </c:pt>
                <c:pt idx="50">
                  <c:v>102.78333640291046</c:v>
                </c:pt>
                <c:pt idx="51">
                  <c:v>103.10758887948623</c:v>
                </c:pt>
                <c:pt idx="52">
                  <c:v>103.35333361971132</c:v>
                </c:pt>
                <c:pt idx="53">
                  <c:v>103.59568432431305</c:v>
                </c:pt>
                <c:pt idx="54">
                  <c:v>103.80197436707576</c:v>
                </c:pt>
                <c:pt idx="55">
                  <c:v>103.97707195477132</c:v>
                </c:pt>
                <c:pt idx="56">
                  <c:v>104.12539930709217</c:v>
                </c:pt>
                <c:pt idx="57">
                  <c:v>104.26515520705492</c:v>
                </c:pt>
                <c:pt idx="58">
                  <c:v>104.36907430383967</c:v>
                </c:pt>
                <c:pt idx="59">
                  <c:v>104.46694060977067</c:v>
                </c:pt>
                <c:pt idx="60">
                  <c:v>104.54804426492905</c:v>
                </c:pt>
                <c:pt idx="61">
                  <c:v>104.61534065621251</c:v>
                </c:pt>
                <c:pt idx="62">
                  <c:v>104.67687863102235</c:v>
                </c:pt>
                <c:pt idx="63">
                  <c:v>104.72711072865152</c:v>
                </c:pt>
                <c:pt idx="64">
                  <c:v>104.76823028444744</c:v>
                </c:pt>
                <c:pt idx="65">
                  <c:v>104.8019939615756</c:v>
                </c:pt>
                <c:pt idx="66">
                  <c:v>104.82980765080535</c:v>
                </c:pt>
                <c:pt idx="67">
                  <c:v>104.85486681064395</c:v>
                </c:pt>
                <c:pt idx="68">
                  <c:v>104.87527254390446</c:v>
                </c:pt>
                <c:pt idx="69">
                  <c:v>104.89195870530853</c:v>
                </c:pt>
                <c:pt idx="70">
                  <c:v>104.90566070984259</c:v>
                </c:pt>
                <c:pt idx="71">
                  <c:v>104.9178841528726</c:v>
                </c:pt>
                <c:pt idx="72">
                  <c:v>104.92783746343194</c:v>
                </c:pt>
                <c:pt idx="73">
                  <c:v>104.9359820360411</c:v>
                </c:pt>
                <c:pt idx="74">
                  <c:v>104.94318097688618</c:v>
                </c:pt>
                <c:pt idx="75">
                  <c:v>104.94862765323558</c:v>
                </c:pt>
                <c:pt idx="76">
                  <c:v>104.95349163997557</c:v>
                </c:pt>
                <c:pt idx="77">
                  <c:v>104.95776740641419</c:v>
                </c:pt>
                <c:pt idx="78">
                  <c:v>104.96125173596637</c:v>
                </c:pt>
                <c:pt idx="79">
                  <c:v>104.96410872536384</c:v>
                </c:pt>
                <c:pt idx="80">
                  <c:v>104.96646568972494</c:v>
                </c:pt>
                <c:pt idx="81">
                  <c:v>104.96854851887994</c:v>
                </c:pt>
                <c:pt idx="82">
                  <c:v>104.97026615526963</c:v>
                </c:pt>
                <c:pt idx="83">
                  <c:v>104.97169233471716</c:v>
                </c:pt>
                <c:pt idx="84">
                  <c:v>104.97295688605563</c:v>
                </c:pt>
                <c:pt idx="85">
                  <c:v>104.97400943459016</c:v>
                </c:pt>
                <c:pt idx="86">
                  <c:v>104.97489217151254</c:v>
                </c:pt>
                <c:pt idx="87">
                  <c:v>104.97568074264336</c:v>
                </c:pt>
                <c:pt idx="88">
                  <c:v>104.97638136643219</c:v>
                </c:pt>
                <c:pt idx="89">
                  <c:v>104.97694123196428</c:v>
                </c:pt>
                <c:pt idx="90">
                  <c:v>104.97744723183897</c:v>
                </c:pt>
                <c:pt idx="91">
                  <c:v>104.97790308225517</c:v>
                </c:pt>
                <c:pt idx="92">
                  <c:v>104.97829401779576</c:v>
                </c:pt>
                <c:pt idx="93">
                  <c:v>104.97863231865111</c:v>
                </c:pt>
                <c:pt idx="94">
                  <c:v>104.97894210042189</c:v>
                </c:pt>
                <c:pt idx="95">
                  <c:v>104.97921298807391</c:v>
                </c:pt>
                <c:pt idx="96">
                  <c:v>104.97946308606181</c:v>
                </c:pt>
                <c:pt idx="97">
                  <c:v>104.97968417016445</c:v>
                </c:pt>
                <c:pt idx="98">
                  <c:v>104.97989003163414</c:v>
                </c:pt>
                <c:pt idx="99">
                  <c:v>104.98007394763725</c:v>
                </c:pt>
                <c:pt idx="100">
                  <c:v>104.98024660157466</c:v>
                </c:pt>
                <c:pt idx="101">
                  <c:v>104.98038290873859</c:v>
                </c:pt>
                <c:pt idx="102">
                  <c:v>104.98056709779391</c:v>
                </c:pt>
                <c:pt idx="103">
                  <c:v>104.98067834842331</c:v>
                </c:pt>
                <c:pt idx="104">
                  <c:v>104.98083061014205</c:v>
                </c:pt>
                <c:pt idx="105">
                  <c:v>104.98092364172865</c:v>
                </c:pt>
                <c:pt idx="106">
                  <c:v>104.98105224310025</c:v>
                </c:pt>
                <c:pt idx="107">
                  <c:v>104.98113152662312</c:v>
                </c:pt>
                <c:pt idx="108">
                  <c:v>104.98124198052523</c:v>
                </c:pt>
                <c:pt idx="109">
                  <c:v>104.98134345827701</c:v>
                </c:pt>
                <c:pt idx="110">
                  <c:v>104.98143707343944</c:v>
                </c:pt>
                <c:pt idx="111">
                  <c:v>104.98152374636085</c:v>
                </c:pt>
                <c:pt idx="112">
                  <c:v>104.98160424617194</c:v>
                </c:pt>
                <c:pt idx="113">
                  <c:v>104.98167922227731</c:v>
                </c:pt>
                <c:pt idx="114">
                  <c:v>104.98174922822218</c:v>
                </c:pt>
                <c:pt idx="115">
                  <c:v>104.98181473997022</c:v>
                </c:pt>
                <c:pt idx="116">
                  <c:v>104.98189580327664</c:v>
                </c:pt>
                <c:pt idx="117">
                  <c:v>104.98195234357594</c:v>
                </c:pt>
                <c:pt idx="118">
                  <c:v>104.98200557585076</c:v>
                </c:pt>
                <c:pt idx="119">
                  <c:v>104.98207186671129</c:v>
                </c:pt>
                <c:pt idx="120">
                  <c:v>104.98211837535287</c:v>
                </c:pt>
                <c:pt idx="121">
                  <c:v>104.98217650041101</c:v>
                </c:pt>
                <c:pt idx="122">
                  <c:v>104.98223057736465</c:v>
                </c:pt>
                <c:pt idx="123">
                  <c:v>104.98228098481539</c:v>
                </c:pt>
                <c:pt idx="124">
                  <c:v>104.98232805552432</c:v>
                </c:pt>
                <c:pt idx="125">
                  <c:v>104.98237208346545</c:v>
                </c:pt>
                <c:pt idx="126">
                  <c:v>104.98241332953336</c:v>
                </c:pt>
                <c:pt idx="127">
                  <c:v>104.98245202621376</c:v>
                </c:pt>
                <c:pt idx="128">
                  <c:v>104.98249712668701</c:v>
                </c:pt>
                <c:pt idx="129">
                  <c:v>104.98253081524973</c:v>
                </c:pt>
                <c:pt idx="130">
                  <c:v>104.98257020483703</c:v>
                </c:pt>
                <c:pt idx="131">
                  <c:v>104.98259971758159</c:v>
                </c:pt>
                <c:pt idx="132">
                  <c:v>104.98263432424515</c:v>
                </c:pt>
                <c:pt idx="133">
                  <c:v>104.98266660533778</c:v>
                </c:pt>
                <c:pt idx="134">
                  <c:v>104.982696764609</c:v>
                </c:pt>
                <c:pt idx="135">
                  <c:v>104.98272498382121</c:v>
                </c:pt>
                <c:pt idx="136">
                  <c:v>104.98275142558487</c:v>
                </c:pt>
                <c:pt idx="137">
                  <c:v>104.98277623576293</c:v>
                </c:pt>
                <c:pt idx="138">
                  <c:v>104.98280403803741</c:v>
                </c:pt>
                <c:pt idx="139">
                  <c:v>104.9828257023251</c:v>
                </c:pt>
                <c:pt idx="140">
                  <c:v>104.98285005100279</c:v>
                </c:pt>
                <c:pt idx="141">
                  <c:v>104.98287275387764</c:v>
                </c:pt>
                <c:pt idx="142">
                  <c:v>104.98289395547391</c:v>
                </c:pt>
                <c:pt idx="143">
                  <c:v>104.98291378481527</c:v>
                </c:pt>
                <c:pt idx="144">
                  <c:v>104.98293235738123</c:v>
                </c:pt>
                <c:pt idx="145">
                  <c:v>104.98295257458268</c:v>
                </c:pt>
                <c:pt idx="146">
                  <c:v>104.98296876571708</c:v>
                </c:pt>
                <c:pt idx="147">
                  <c:v>104.98298644378997</c:v>
                </c:pt>
                <c:pt idx="148">
                  <c:v>104.98300292850419</c:v>
                </c:pt>
                <c:pt idx="149">
                  <c:v>104.98301832452336</c:v>
                </c:pt>
                <c:pt idx="150">
                  <c:v>104.98303272531471</c:v>
                </c:pt>
                <c:pt idx="151">
                  <c:v>104.98304807165268</c:v>
                </c:pt>
                <c:pt idx="152">
                  <c:v>104.98306061060964</c:v>
                </c:pt>
                <c:pt idx="153">
                  <c:v>104.98307401399565</c:v>
                </c:pt>
                <c:pt idx="154">
                  <c:v>104.98308651364341</c:v>
                </c:pt>
                <c:pt idx="155">
                  <c:v>104.9830981887706</c:v>
                </c:pt>
                <c:pt idx="156">
                  <c:v>104.98310911012418</c:v>
                </c:pt>
                <c:pt idx="157">
                  <c:v>104.983120574257</c:v>
                </c:pt>
                <c:pt idx="158">
                  <c:v>104.98313009608317</c:v>
                </c:pt>
                <c:pt idx="159">
                  <c:v>104.98314012141465</c:v>
                </c:pt>
                <c:pt idx="160">
                  <c:v>104.98314948142499</c:v>
                </c:pt>
                <c:pt idx="161">
                  <c:v>104.98315823356992</c:v>
                </c:pt>
                <c:pt idx="162">
                  <c:v>104.98316730757867</c:v>
                </c:pt>
                <c:pt idx="163">
                  <c:v>104.98317575733552</c:v>
                </c:pt>
                <c:pt idx="164">
                  <c:v>104.98318363869701</c:v>
                </c:pt>
                <c:pt idx="165">
                  <c:v>104.98319100142152</c:v>
                </c:pt>
                <c:pt idx="166">
                  <c:v>104.98319788994968</c:v>
                </c:pt>
                <c:pt idx="167">
                  <c:v>104.98320496699706</c:v>
                </c:pt>
                <c:pt idx="168">
                  <c:v>104.98321156561721</c:v>
                </c:pt>
                <c:pt idx="169">
                  <c:v>104.98321772790995</c:v>
                </c:pt>
                <c:pt idx="170">
                  <c:v>104.98322349145199</c:v>
                </c:pt>
                <c:pt idx="171">
                  <c:v>104.98322936359301</c:v>
                </c:pt>
                <c:pt idx="172">
                  <c:v>104.98323484011098</c:v>
                </c:pt>
                <c:pt idx="173">
                  <c:v>104.98323995571376</c:v>
                </c:pt>
                <c:pt idx="174">
                  <c:v>104.9832451261943</c:v>
                </c:pt>
                <c:pt idx="175">
                  <c:v>104.98324958565749</c:v>
                </c:pt>
                <c:pt idx="176">
                  <c:v>104.98325410673149</c:v>
                </c:pt>
                <c:pt idx="177">
                  <c:v>104.98325864629145</c:v>
                </c:pt>
                <c:pt idx="178">
                  <c:v>104.98326287478793</c:v>
                </c:pt>
                <c:pt idx="179">
                  <c:v>104.98326681997524</c:v>
                </c:pt>
                <c:pt idx="180">
                  <c:v>104.9832705065831</c:v>
                </c:pt>
                <c:pt idx="181">
                  <c:v>104.98327419462646</c:v>
                </c:pt>
                <c:pt idx="182">
                  <c:v>104.98327763540381</c:v>
                </c:pt>
                <c:pt idx="183">
                  <c:v>104.98328085051597</c:v>
                </c:pt>
                <c:pt idx="184">
                  <c:v>104.98328405293589</c:v>
                </c:pt>
                <c:pt idx="185">
                  <c:v>104.98328704142236</c:v>
                </c:pt>
                <c:pt idx="186">
                  <c:v>104.98328983460007</c:v>
                </c:pt>
                <c:pt idx="187">
                  <c:v>104.98329260693578</c:v>
                </c:pt>
                <c:pt idx="188">
                  <c:v>104.98329534226249</c:v>
                </c:pt>
                <c:pt idx="189">
                  <c:v>104.98329775329047</c:v>
                </c:pt>
                <c:pt idx="190">
                  <c:v>104.98330013967379</c:v>
                </c:pt>
                <c:pt idx="191">
                  <c:v>104.98330248908727</c:v>
                </c:pt>
                <c:pt idx="192">
                  <c:v>104.98330467977298</c:v>
                </c:pt>
                <c:pt idx="193">
                  <c:v>104.98330672570592</c:v>
                </c:pt>
                <c:pt idx="194">
                  <c:v>104.98330873662796</c:v>
                </c:pt>
                <c:pt idx="195">
                  <c:v>104.98331061394208</c:v>
                </c:pt>
                <c:pt idx="196">
                  <c:v>104.98331245397283</c:v>
                </c:pt>
                <c:pt idx="197">
                  <c:v>104.98331417139678</c:v>
                </c:pt>
                <c:pt idx="198">
                  <c:v>104.98331585068951</c:v>
                </c:pt>
                <c:pt idx="199">
                  <c:v>104.9833174180184</c:v>
                </c:pt>
                <c:pt idx="200">
                  <c:v>104.98331894742689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571-451C-ADE6-EECD4F5CD2D1}"/>
            </c:ext>
          </c:extLst>
        </c:ser>
        <c:ser>
          <c:idx val="0"/>
          <c:order val="1"/>
          <c:tx>
            <c:v>Driver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Calculations!$B$11:$B$211</c:f>
              <c:numCache>
                <c:formatCode>0.0</c:formatCode>
                <c:ptCount val="201"/>
                <c:pt idx="0">
                  <c:v>10</c:v>
                </c:pt>
                <c:pt idx="1">
                  <c:v>10.199999999999999</c:v>
                </c:pt>
                <c:pt idx="2">
                  <c:v>10.5</c:v>
                </c:pt>
                <c:pt idx="3">
                  <c:v>10.7</c:v>
                </c:pt>
                <c:pt idx="4">
                  <c:v>11</c:v>
                </c:pt>
                <c:pt idx="5">
                  <c:v>11.2</c:v>
                </c:pt>
                <c:pt idx="6">
                  <c:v>11.5</c:v>
                </c:pt>
                <c:pt idx="7">
                  <c:v>11.7</c:v>
                </c:pt>
                <c:pt idx="8">
                  <c:v>12</c:v>
                </c:pt>
                <c:pt idx="9">
                  <c:v>12.3</c:v>
                </c:pt>
                <c:pt idx="10">
                  <c:v>12.6</c:v>
                </c:pt>
                <c:pt idx="11">
                  <c:v>12.9</c:v>
                </c:pt>
                <c:pt idx="12">
                  <c:v>13.2</c:v>
                </c:pt>
                <c:pt idx="13">
                  <c:v>13.5</c:v>
                </c:pt>
                <c:pt idx="14">
                  <c:v>13.8</c:v>
                </c:pt>
                <c:pt idx="15">
                  <c:v>14.1</c:v>
                </c:pt>
                <c:pt idx="16">
                  <c:v>14.5</c:v>
                </c:pt>
                <c:pt idx="17">
                  <c:v>14.8</c:v>
                </c:pt>
                <c:pt idx="18">
                  <c:v>15.1</c:v>
                </c:pt>
                <c:pt idx="19">
                  <c:v>15.5</c:v>
                </c:pt>
                <c:pt idx="20">
                  <c:v>15.8</c:v>
                </c:pt>
                <c:pt idx="21">
                  <c:v>16.2</c:v>
                </c:pt>
                <c:pt idx="22">
                  <c:v>16.600000000000001</c:v>
                </c:pt>
                <c:pt idx="23">
                  <c:v>17</c:v>
                </c:pt>
                <c:pt idx="24">
                  <c:v>17.399999999999999</c:v>
                </c:pt>
                <c:pt idx="25">
                  <c:v>17.8</c:v>
                </c:pt>
                <c:pt idx="26">
                  <c:v>18.2</c:v>
                </c:pt>
                <c:pt idx="27">
                  <c:v>18.600000000000001</c:v>
                </c:pt>
                <c:pt idx="28">
                  <c:v>19.100000000000001</c:v>
                </c:pt>
                <c:pt idx="29">
                  <c:v>19.5</c:v>
                </c:pt>
                <c:pt idx="30">
                  <c:v>20</c:v>
                </c:pt>
                <c:pt idx="31">
                  <c:v>20.399999999999999</c:v>
                </c:pt>
                <c:pt idx="32">
                  <c:v>20.9</c:v>
                </c:pt>
                <c:pt idx="33">
                  <c:v>21.4</c:v>
                </c:pt>
                <c:pt idx="34">
                  <c:v>21.9</c:v>
                </c:pt>
                <c:pt idx="35">
                  <c:v>22.4</c:v>
                </c:pt>
                <c:pt idx="36">
                  <c:v>22.9</c:v>
                </c:pt>
                <c:pt idx="37">
                  <c:v>23.4</c:v>
                </c:pt>
                <c:pt idx="38">
                  <c:v>24</c:v>
                </c:pt>
                <c:pt idx="39">
                  <c:v>24.5</c:v>
                </c:pt>
                <c:pt idx="40">
                  <c:v>25.1</c:v>
                </c:pt>
                <c:pt idx="41">
                  <c:v>25.7</c:v>
                </c:pt>
                <c:pt idx="42">
                  <c:v>26.3</c:v>
                </c:pt>
                <c:pt idx="43">
                  <c:v>26.9</c:v>
                </c:pt>
                <c:pt idx="44">
                  <c:v>27.5</c:v>
                </c:pt>
                <c:pt idx="45">
                  <c:v>28.2</c:v>
                </c:pt>
                <c:pt idx="46">
                  <c:v>28.8</c:v>
                </c:pt>
                <c:pt idx="47">
                  <c:v>29.5</c:v>
                </c:pt>
                <c:pt idx="48">
                  <c:v>30.2</c:v>
                </c:pt>
                <c:pt idx="49">
                  <c:v>30.9</c:v>
                </c:pt>
                <c:pt idx="50">
                  <c:v>31.6</c:v>
                </c:pt>
                <c:pt idx="51">
                  <c:v>32.4</c:v>
                </c:pt>
                <c:pt idx="52">
                  <c:v>33.1</c:v>
                </c:pt>
                <c:pt idx="53">
                  <c:v>33.9</c:v>
                </c:pt>
                <c:pt idx="54">
                  <c:v>34.700000000000003</c:v>
                </c:pt>
                <c:pt idx="55">
                  <c:v>35.5</c:v>
                </c:pt>
                <c:pt idx="56">
                  <c:v>36.299999999999997</c:v>
                </c:pt>
                <c:pt idx="57">
                  <c:v>37.200000000000003</c:v>
                </c:pt>
                <c:pt idx="58">
                  <c:v>38</c:v>
                </c:pt>
                <c:pt idx="59">
                  <c:v>38.9</c:v>
                </c:pt>
                <c:pt idx="60">
                  <c:v>39.799999999999997</c:v>
                </c:pt>
                <c:pt idx="61">
                  <c:v>40.700000000000003</c:v>
                </c:pt>
                <c:pt idx="62">
                  <c:v>41.7</c:v>
                </c:pt>
                <c:pt idx="63">
                  <c:v>42.7</c:v>
                </c:pt>
                <c:pt idx="64">
                  <c:v>43.7</c:v>
                </c:pt>
                <c:pt idx="65">
                  <c:v>44.7</c:v>
                </c:pt>
                <c:pt idx="66">
                  <c:v>45.7</c:v>
                </c:pt>
                <c:pt idx="67">
                  <c:v>46.8</c:v>
                </c:pt>
                <c:pt idx="68">
                  <c:v>47.9</c:v>
                </c:pt>
                <c:pt idx="69">
                  <c:v>49</c:v>
                </c:pt>
                <c:pt idx="70">
                  <c:v>50.1</c:v>
                </c:pt>
                <c:pt idx="71">
                  <c:v>51.3</c:v>
                </c:pt>
                <c:pt idx="72">
                  <c:v>52.5</c:v>
                </c:pt>
                <c:pt idx="73">
                  <c:v>53.7</c:v>
                </c:pt>
                <c:pt idx="74">
                  <c:v>55</c:v>
                </c:pt>
                <c:pt idx="75">
                  <c:v>56.2</c:v>
                </c:pt>
                <c:pt idx="76">
                  <c:v>57.5</c:v>
                </c:pt>
                <c:pt idx="77">
                  <c:v>58.9</c:v>
                </c:pt>
                <c:pt idx="78">
                  <c:v>60.3</c:v>
                </c:pt>
                <c:pt idx="79">
                  <c:v>61.7</c:v>
                </c:pt>
                <c:pt idx="80">
                  <c:v>63.1</c:v>
                </c:pt>
                <c:pt idx="81">
                  <c:v>64.599999999999994</c:v>
                </c:pt>
                <c:pt idx="82">
                  <c:v>66.099999999999994</c:v>
                </c:pt>
                <c:pt idx="83">
                  <c:v>67.599999999999994</c:v>
                </c:pt>
                <c:pt idx="84">
                  <c:v>69.2</c:v>
                </c:pt>
                <c:pt idx="85">
                  <c:v>70.8</c:v>
                </c:pt>
                <c:pt idx="86">
                  <c:v>72.400000000000006</c:v>
                </c:pt>
                <c:pt idx="87">
                  <c:v>74.099999999999994</c:v>
                </c:pt>
                <c:pt idx="88">
                  <c:v>75.900000000000006</c:v>
                </c:pt>
                <c:pt idx="89">
                  <c:v>77.599999999999994</c:v>
                </c:pt>
                <c:pt idx="90">
                  <c:v>79.400000000000006</c:v>
                </c:pt>
                <c:pt idx="91">
                  <c:v>81.3</c:v>
                </c:pt>
                <c:pt idx="92">
                  <c:v>83.2</c:v>
                </c:pt>
                <c:pt idx="93">
                  <c:v>85.1</c:v>
                </c:pt>
                <c:pt idx="94">
                  <c:v>87.1</c:v>
                </c:pt>
                <c:pt idx="95">
                  <c:v>89.1</c:v>
                </c:pt>
                <c:pt idx="96">
                  <c:v>91.2</c:v>
                </c:pt>
                <c:pt idx="97">
                  <c:v>93.3</c:v>
                </c:pt>
                <c:pt idx="98">
                  <c:v>95.5</c:v>
                </c:pt>
                <c:pt idx="99">
                  <c:v>97.7</c:v>
                </c:pt>
                <c:pt idx="100" formatCode="0">
                  <c:v>100</c:v>
                </c:pt>
                <c:pt idx="101" formatCode="0">
                  <c:v>102</c:v>
                </c:pt>
                <c:pt idx="102" formatCode="0">
                  <c:v>105</c:v>
                </c:pt>
                <c:pt idx="103" formatCode="0">
                  <c:v>107</c:v>
                </c:pt>
                <c:pt idx="104" formatCode="0">
                  <c:v>110</c:v>
                </c:pt>
                <c:pt idx="105" formatCode="0">
                  <c:v>112</c:v>
                </c:pt>
                <c:pt idx="106" formatCode="0">
                  <c:v>115</c:v>
                </c:pt>
                <c:pt idx="107" formatCode="0">
                  <c:v>117</c:v>
                </c:pt>
                <c:pt idx="108" formatCode="0">
                  <c:v>120</c:v>
                </c:pt>
                <c:pt idx="109" formatCode="0">
                  <c:v>123</c:v>
                </c:pt>
                <c:pt idx="110" formatCode="0">
                  <c:v>126</c:v>
                </c:pt>
                <c:pt idx="111" formatCode="0">
                  <c:v>129</c:v>
                </c:pt>
                <c:pt idx="112" formatCode="0">
                  <c:v>132</c:v>
                </c:pt>
                <c:pt idx="113" formatCode="0">
                  <c:v>135</c:v>
                </c:pt>
                <c:pt idx="114" formatCode="0">
                  <c:v>138</c:v>
                </c:pt>
                <c:pt idx="115" formatCode="0">
                  <c:v>141</c:v>
                </c:pt>
                <c:pt idx="116" formatCode="0">
                  <c:v>145</c:v>
                </c:pt>
                <c:pt idx="117" formatCode="0">
                  <c:v>148</c:v>
                </c:pt>
                <c:pt idx="118" formatCode="0">
                  <c:v>151</c:v>
                </c:pt>
                <c:pt idx="119" formatCode="0">
                  <c:v>155</c:v>
                </c:pt>
                <c:pt idx="120" formatCode="0">
                  <c:v>158</c:v>
                </c:pt>
                <c:pt idx="121" formatCode="0">
                  <c:v>162</c:v>
                </c:pt>
                <c:pt idx="122" formatCode="0">
                  <c:v>166</c:v>
                </c:pt>
                <c:pt idx="123" formatCode="0">
                  <c:v>170</c:v>
                </c:pt>
                <c:pt idx="124" formatCode="0">
                  <c:v>174</c:v>
                </c:pt>
                <c:pt idx="125" formatCode="0">
                  <c:v>178</c:v>
                </c:pt>
                <c:pt idx="126" formatCode="0">
                  <c:v>182</c:v>
                </c:pt>
                <c:pt idx="127" formatCode="0">
                  <c:v>186</c:v>
                </c:pt>
                <c:pt idx="128" formatCode="0">
                  <c:v>191</c:v>
                </c:pt>
                <c:pt idx="129" formatCode="0">
                  <c:v>195</c:v>
                </c:pt>
                <c:pt idx="130" formatCode="0">
                  <c:v>200</c:v>
                </c:pt>
                <c:pt idx="131" formatCode="0">
                  <c:v>204</c:v>
                </c:pt>
                <c:pt idx="132" formatCode="0">
                  <c:v>209</c:v>
                </c:pt>
                <c:pt idx="133" formatCode="0">
                  <c:v>214</c:v>
                </c:pt>
                <c:pt idx="134" formatCode="0">
                  <c:v>219</c:v>
                </c:pt>
                <c:pt idx="135" formatCode="0">
                  <c:v>224</c:v>
                </c:pt>
                <c:pt idx="136" formatCode="0">
                  <c:v>229</c:v>
                </c:pt>
                <c:pt idx="137" formatCode="0">
                  <c:v>234</c:v>
                </c:pt>
                <c:pt idx="138" formatCode="0">
                  <c:v>240</c:v>
                </c:pt>
                <c:pt idx="139" formatCode="0">
                  <c:v>245</c:v>
                </c:pt>
                <c:pt idx="140" formatCode="0">
                  <c:v>251</c:v>
                </c:pt>
                <c:pt idx="141" formatCode="0">
                  <c:v>257</c:v>
                </c:pt>
                <c:pt idx="142" formatCode="0">
                  <c:v>263</c:v>
                </c:pt>
                <c:pt idx="143" formatCode="0">
                  <c:v>269</c:v>
                </c:pt>
                <c:pt idx="144" formatCode="0">
                  <c:v>275</c:v>
                </c:pt>
                <c:pt idx="145" formatCode="0">
                  <c:v>282</c:v>
                </c:pt>
                <c:pt idx="146" formatCode="0">
                  <c:v>288</c:v>
                </c:pt>
                <c:pt idx="147" formatCode="0">
                  <c:v>295</c:v>
                </c:pt>
                <c:pt idx="148" formatCode="0">
                  <c:v>302</c:v>
                </c:pt>
                <c:pt idx="149" formatCode="0">
                  <c:v>309</c:v>
                </c:pt>
                <c:pt idx="150" formatCode="0">
                  <c:v>316</c:v>
                </c:pt>
                <c:pt idx="151" formatCode="0">
                  <c:v>324</c:v>
                </c:pt>
                <c:pt idx="152" formatCode="0">
                  <c:v>331</c:v>
                </c:pt>
                <c:pt idx="153" formatCode="0">
                  <c:v>339</c:v>
                </c:pt>
                <c:pt idx="154" formatCode="0">
                  <c:v>347</c:v>
                </c:pt>
                <c:pt idx="155" formatCode="0">
                  <c:v>355</c:v>
                </c:pt>
                <c:pt idx="156" formatCode="0">
                  <c:v>363</c:v>
                </c:pt>
                <c:pt idx="157" formatCode="0">
                  <c:v>372</c:v>
                </c:pt>
                <c:pt idx="158" formatCode="0">
                  <c:v>380</c:v>
                </c:pt>
                <c:pt idx="159" formatCode="0">
                  <c:v>389</c:v>
                </c:pt>
                <c:pt idx="160" formatCode="0">
                  <c:v>398</c:v>
                </c:pt>
                <c:pt idx="161" formatCode="0">
                  <c:v>407</c:v>
                </c:pt>
                <c:pt idx="162" formatCode="0">
                  <c:v>417</c:v>
                </c:pt>
                <c:pt idx="163" formatCode="0">
                  <c:v>427</c:v>
                </c:pt>
                <c:pt idx="164" formatCode="0">
                  <c:v>437</c:v>
                </c:pt>
                <c:pt idx="165" formatCode="0">
                  <c:v>447</c:v>
                </c:pt>
                <c:pt idx="166" formatCode="0">
                  <c:v>457</c:v>
                </c:pt>
                <c:pt idx="167" formatCode="0">
                  <c:v>468</c:v>
                </c:pt>
                <c:pt idx="168" formatCode="0">
                  <c:v>479</c:v>
                </c:pt>
                <c:pt idx="169" formatCode="0">
                  <c:v>490</c:v>
                </c:pt>
                <c:pt idx="170" formatCode="0">
                  <c:v>501</c:v>
                </c:pt>
                <c:pt idx="171" formatCode="0">
                  <c:v>513</c:v>
                </c:pt>
                <c:pt idx="172" formatCode="0">
                  <c:v>525</c:v>
                </c:pt>
                <c:pt idx="173" formatCode="0">
                  <c:v>537</c:v>
                </c:pt>
                <c:pt idx="174" formatCode="0">
                  <c:v>550</c:v>
                </c:pt>
                <c:pt idx="175" formatCode="0">
                  <c:v>562</c:v>
                </c:pt>
                <c:pt idx="176" formatCode="0">
                  <c:v>575</c:v>
                </c:pt>
                <c:pt idx="177" formatCode="0">
                  <c:v>589</c:v>
                </c:pt>
                <c:pt idx="178" formatCode="0">
                  <c:v>603</c:v>
                </c:pt>
                <c:pt idx="179" formatCode="0">
                  <c:v>617</c:v>
                </c:pt>
                <c:pt idx="180" formatCode="0">
                  <c:v>631</c:v>
                </c:pt>
                <c:pt idx="181" formatCode="0">
                  <c:v>646</c:v>
                </c:pt>
                <c:pt idx="182" formatCode="0">
                  <c:v>661</c:v>
                </c:pt>
                <c:pt idx="183" formatCode="0">
                  <c:v>676</c:v>
                </c:pt>
                <c:pt idx="184" formatCode="0">
                  <c:v>692</c:v>
                </c:pt>
                <c:pt idx="185" formatCode="0">
                  <c:v>708</c:v>
                </c:pt>
                <c:pt idx="186" formatCode="0">
                  <c:v>724</c:v>
                </c:pt>
                <c:pt idx="187" formatCode="0">
                  <c:v>741</c:v>
                </c:pt>
                <c:pt idx="188" formatCode="0">
                  <c:v>759</c:v>
                </c:pt>
                <c:pt idx="189" formatCode="0">
                  <c:v>776</c:v>
                </c:pt>
                <c:pt idx="190" formatCode="0">
                  <c:v>794</c:v>
                </c:pt>
                <c:pt idx="191" formatCode="0">
                  <c:v>813</c:v>
                </c:pt>
                <c:pt idx="192" formatCode="0">
                  <c:v>832</c:v>
                </c:pt>
                <c:pt idx="193" formatCode="0">
                  <c:v>851</c:v>
                </c:pt>
                <c:pt idx="194" formatCode="0">
                  <c:v>871</c:v>
                </c:pt>
                <c:pt idx="195" formatCode="0">
                  <c:v>891</c:v>
                </c:pt>
                <c:pt idx="196" formatCode="0">
                  <c:v>912</c:v>
                </c:pt>
                <c:pt idx="197" formatCode="0">
                  <c:v>933</c:v>
                </c:pt>
                <c:pt idx="198" formatCode="0">
                  <c:v>955</c:v>
                </c:pt>
                <c:pt idx="199" formatCode="0">
                  <c:v>977</c:v>
                </c:pt>
                <c:pt idx="200" formatCode="0">
                  <c:v>1000</c:v>
                </c:pt>
              </c:numCache>
            </c:numRef>
          </c:xVal>
          <c:yVal>
            <c:numRef>
              <c:f>Calculations!$U$11:$U$211</c:f>
              <c:numCache>
                <c:formatCode>0.00</c:formatCode>
                <c:ptCount val="201"/>
                <c:pt idx="0">
                  <c:v>84.875401098170627</c:v>
                </c:pt>
                <c:pt idx="1">
                  <c:v>85.17601013584725</c:v>
                </c:pt>
                <c:pt idx="2">
                  <c:v>85.61242914783243</c:v>
                </c:pt>
                <c:pt idx="3">
                  <c:v>85.894052946319221</c:v>
                </c:pt>
                <c:pt idx="4">
                  <c:v>86.303043929362758</c:v>
                </c:pt>
                <c:pt idx="5">
                  <c:v>86.567031095315485</c:v>
                </c:pt>
                <c:pt idx="6">
                  <c:v>86.950459566520152</c:v>
                </c:pt>
                <c:pt idx="7">
                  <c:v>87.19795663664398</c:v>
                </c:pt>
                <c:pt idx="8">
                  <c:v>87.557408494405294</c:v>
                </c:pt>
                <c:pt idx="9">
                  <c:v>87.903134286877702</c:v>
                </c:pt>
                <c:pt idx="10">
                  <c:v>88.235571514042277</c:v>
                </c:pt>
                <c:pt idx="11">
                  <c:v>88.555114772138808</c:v>
                </c:pt>
                <c:pt idx="12">
                  <c:v>88.862118707868106</c:v>
                </c:pt>
                <c:pt idx="13">
                  <c:v>89.156900557099306</c:v>
                </c:pt>
                <c:pt idx="14">
                  <c:v>89.439742316383075</c:v>
                </c:pt>
                <c:pt idx="15">
                  <c:v>89.710892587882086</c:v>
                </c:pt>
                <c:pt idx="16">
                  <c:v>90.054609749937399</c:v>
                </c:pt>
                <c:pt idx="17">
                  <c:v>90.299270188244648</c:v>
                </c:pt>
                <c:pt idx="18">
                  <c:v>90.53284463924264</c:v>
                </c:pt>
                <c:pt idx="19">
                  <c:v>90.827233378467554</c:v>
                </c:pt>
                <c:pt idx="20">
                  <c:v>91.035353723901551</c:v>
                </c:pt>
                <c:pt idx="21">
                  <c:v>91.29605554124177</c:v>
                </c:pt>
                <c:pt idx="22">
                  <c:v>91.537610194989128</c:v>
                </c:pt>
                <c:pt idx="23">
                  <c:v>91.759984418780249</c:v>
                </c:pt>
                <c:pt idx="24">
                  <c:v>91.963057715074768</c:v>
                </c:pt>
                <c:pt idx="25">
                  <c:v>92.146620606936068</c:v>
                </c:pt>
                <c:pt idx="26">
                  <c:v>92.310372121014481</c:v>
                </c:pt>
                <c:pt idx="27">
                  <c:v>92.453916522618357</c:v>
                </c:pt>
                <c:pt idx="28">
                  <c:v>92.604167660730852</c:v>
                </c:pt>
                <c:pt idx="29">
                  <c:v>92.700279892881511</c:v>
                </c:pt>
                <c:pt idx="30">
                  <c:v>92.789102893364117</c:v>
                </c:pt>
                <c:pt idx="31">
                  <c:v>92.834050632476973</c:v>
                </c:pt>
                <c:pt idx="32">
                  <c:v>92.855942901682909</c:v>
                </c:pt>
                <c:pt idx="33">
                  <c:v>92.83760336448772</c:v>
                </c:pt>
                <c:pt idx="34">
                  <c:v>92.776414549314566</c:v>
                </c:pt>
                <c:pt idx="35">
                  <c:v>92.669378098651563</c:v>
                </c:pt>
                <c:pt idx="36">
                  <c:v>92.513086843429676</c:v>
                </c:pt>
                <c:pt idx="37">
                  <c:v>92.303700723771058</c:v>
                </c:pt>
                <c:pt idx="38">
                  <c:v>91.976287713701552</c:v>
                </c:pt>
                <c:pt idx="39">
                  <c:v>91.634408297932595</c:v>
                </c:pt>
                <c:pt idx="40">
                  <c:v>91.133662545505956</c:v>
                </c:pt>
                <c:pt idx="41">
                  <c:v>90.525782387699849</c:v>
                </c:pt>
                <c:pt idx="42">
                  <c:v>89.803235382745214</c:v>
                </c:pt>
                <c:pt idx="43">
                  <c:v>88.963508382005386</c:v>
                </c:pt>
                <c:pt idx="44">
                  <c:v>88.017403237655458</c:v>
                </c:pt>
                <c:pt idx="45">
                  <c:v>86.837845835217962</c:v>
                </c:pt>
                <c:pt idx="46">
                  <c:v>85.889017951043328</c:v>
                </c:pt>
                <c:pt idx="47">
                  <c:v>85.151256721874148</c:v>
                </c:pt>
                <c:pt idx="48">
                  <c:v>85.166309745075409</c:v>
                </c:pt>
                <c:pt idx="49">
                  <c:v>85.985468106742502</c:v>
                </c:pt>
                <c:pt idx="50">
                  <c:v>87.275951425897233</c:v>
                </c:pt>
                <c:pt idx="51">
                  <c:v>88.888124118436536</c:v>
                </c:pt>
                <c:pt idx="52">
                  <c:v>90.223354734053032</c:v>
                </c:pt>
                <c:pt idx="53">
                  <c:v>91.589637567984113</c:v>
                </c:pt>
                <c:pt idx="54">
                  <c:v>92.780136242918019</c:v>
                </c:pt>
                <c:pt idx="55">
                  <c:v>93.812794047644815</c:v>
                </c:pt>
                <c:pt idx="56">
                  <c:v>94.710400506792581</c:v>
                </c:pt>
                <c:pt idx="57">
                  <c:v>95.585122759500948</c:v>
                </c:pt>
                <c:pt idx="58">
                  <c:v>96.262468046198961</c:v>
                </c:pt>
                <c:pt idx="59">
                  <c:v>96.930836491461449</c:v>
                </c:pt>
                <c:pt idx="60">
                  <c:v>97.516331877905884</c:v>
                </c:pt>
                <c:pt idx="61">
                  <c:v>98.032593831815106</c:v>
                </c:pt>
                <c:pt idx="62">
                  <c:v>98.5382977574004</c:v>
                </c:pt>
                <c:pt idx="63">
                  <c:v>98.984104637400904</c:v>
                </c:pt>
                <c:pt idx="64">
                  <c:v>99.379643885835932</c:v>
                </c:pt>
                <c:pt idx="65">
                  <c:v>99.732661415668161</c:v>
                </c:pt>
                <c:pt idx="66">
                  <c:v>100.04944016734625</c:v>
                </c:pt>
                <c:pt idx="67">
                  <c:v>100.36214446174486</c:v>
                </c:pt>
                <c:pt idx="68">
                  <c:v>100.6427846449904</c:v>
                </c:pt>
                <c:pt idx="69">
                  <c:v>100.89591641292431</c:v>
                </c:pt>
                <c:pt idx="70">
                  <c:v>101.12528550379308</c:v>
                </c:pt>
                <c:pt idx="71">
                  <c:v>101.35203868925926</c:v>
                </c:pt>
                <c:pt idx="72">
                  <c:v>101.55753864307289</c:v>
                </c:pt>
                <c:pt idx="73">
                  <c:v>101.74455312103377</c:v>
                </c:pt>
                <c:pt idx="74">
                  <c:v>101.92896253983002</c:v>
                </c:pt>
                <c:pt idx="75">
                  <c:v>102.08446275278803</c:v>
                </c:pt>
                <c:pt idx="76">
                  <c:v>102.2389052186121</c:v>
                </c:pt>
                <c:pt idx="77">
                  <c:v>102.39087057232537</c:v>
                </c:pt>
                <c:pt idx="78">
                  <c:v>102.52973904082309</c:v>
                </c:pt>
                <c:pt idx="79">
                  <c:v>102.65706341973596</c:v>
                </c:pt>
                <c:pt idx="80">
                  <c:v>102.77416191489908</c:v>
                </c:pt>
                <c:pt idx="81">
                  <c:v>102.88955331523624</c:v>
                </c:pt>
                <c:pt idx="82">
                  <c:v>102.99568171033242</c:v>
                </c:pt>
                <c:pt idx="83">
                  <c:v>103.09356128938526</c:v>
                </c:pt>
                <c:pt idx="84">
                  <c:v>103.18985553030573</c:v>
                </c:pt>
                <c:pt idx="85">
                  <c:v>103.27866937799595</c:v>
                </c:pt>
                <c:pt idx="86">
                  <c:v>103.36079008945958</c:v>
                </c:pt>
                <c:pt idx="87">
                  <c:v>103.44147129385904</c:v>
                </c:pt>
                <c:pt idx="88">
                  <c:v>103.52028881161857</c:v>
                </c:pt>
                <c:pt idx="89">
                  <c:v>103.5891295230077</c:v>
                </c:pt>
                <c:pt idx="90">
                  <c:v>103.65669653170981</c:v>
                </c:pt>
                <c:pt idx="91">
                  <c:v>103.72267466659879</c:v>
                </c:pt>
                <c:pt idx="92">
                  <c:v>103.78372066310618</c:v>
                </c:pt>
                <c:pt idx="93">
                  <c:v>103.84032736502795</c:v>
                </c:pt>
                <c:pt idx="94">
                  <c:v>103.89559062684022</c:v>
                </c:pt>
                <c:pt idx="95">
                  <c:v>103.94685257377142</c:v>
                </c:pt>
                <c:pt idx="96">
                  <c:v>103.99679271008181</c:v>
                </c:pt>
                <c:pt idx="97">
                  <c:v>104.04313805422956</c:v>
                </c:pt>
                <c:pt idx="98">
                  <c:v>104.08820868509224</c:v>
                </c:pt>
                <c:pt idx="99">
                  <c:v>104.13005812666499</c:v>
                </c:pt>
                <c:pt idx="100">
                  <c:v>104.17069647930472</c:v>
                </c:pt>
                <c:pt idx="101">
                  <c:v>104.2036828273383</c:v>
                </c:pt>
                <c:pt idx="102">
                  <c:v>104.24946596755706</c:v>
                </c:pt>
                <c:pt idx="103">
                  <c:v>104.27775217832476</c:v>
                </c:pt>
                <c:pt idx="104">
                  <c:v>104.31717134300837</c:v>
                </c:pt>
                <c:pt idx="105">
                  <c:v>104.34162050921258</c:v>
                </c:pt>
                <c:pt idx="106">
                  <c:v>104.37581632654697</c:v>
                </c:pt>
                <c:pt idx="107">
                  <c:v>104.39709987711342</c:v>
                </c:pt>
                <c:pt idx="108">
                  <c:v>104.42696562592107</c:v>
                </c:pt>
                <c:pt idx="109">
                  <c:v>104.45458313198665</c:v>
                </c:pt>
                <c:pt idx="110">
                  <c:v>104.4801747399854</c:v>
                </c:pt>
                <c:pt idx="111">
                  <c:v>104.50393570571742</c:v>
                </c:pt>
                <c:pt idx="112">
                  <c:v>104.52603810002934</c:v>
                </c:pt>
                <c:pt idx="113">
                  <c:v>104.54663406559199</c:v>
                </c:pt>
                <c:pt idx="114">
                  <c:v>104.56585854742222</c:v>
                </c:pt>
                <c:pt idx="115">
                  <c:v>104.58383159298718</c:v>
                </c:pt>
                <c:pt idx="116">
                  <c:v>104.60603242393987</c:v>
                </c:pt>
                <c:pt idx="117">
                  <c:v>104.6214826165351</c:v>
                </c:pt>
                <c:pt idx="118">
                  <c:v>104.63599683227299</c:v>
                </c:pt>
                <c:pt idx="119">
                  <c:v>104.65402098215692</c:v>
                </c:pt>
                <c:pt idx="120">
                  <c:v>104.66662873334397</c:v>
                </c:pt>
                <c:pt idx="121">
                  <c:v>104.68233709034604</c:v>
                </c:pt>
                <c:pt idx="122">
                  <c:v>104.69689909772771</c:v>
                </c:pt>
                <c:pt idx="123">
                  <c:v>104.71042420289371</c:v>
                </c:pt>
                <c:pt idx="124">
                  <c:v>104.72300903320868</c:v>
                </c:pt>
                <c:pt idx="125">
                  <c:v>104.73473916514575</c:v>
                </c:pt>
                <c:pt idx="126">
                  <c:v>104.74569061371547</c:v>
                </c:pt>
                <c:pt idx="127">
                  <c:v>104.75593109182981</c:v>
                </c:pt>
                <c:pt idx="128">
                  <c:v>104.76782341126059</c:v>
                </c:pt>
                <c:pt idx="129">
                  <c:v>104.77667578124036</c:v>
                </c:pt>
                <c:pt idx="130">
                  <c:v>104.78699209583779</c:v>
                </c:pt>
                <c:pt idx="131">
                  <c:v>104.79469711913276</c:v>
                </c:pt>
                <c:pt idx="132">
                  <c:v>104.80370490175946</c:v>
                </c:pt>
                <c:pt idx="133">
                  <c:v>104.81208063410898</c:v>
                </c:pt>
                <c:pt idx="134">
                  <c:v>104.8198822678595</c:v>
                </c:pt>
                <c:pt idx="135">
                  <c:v>104.82716124320288</c:v>
                </c:pt>
                <c:pt idx="136">
                  <c:v>104.83396334985841</c:v>
                </c:pt>
                <c:pt idx="137">
                  <c:v>104.84032945778026</c:v>
                </c:pt>
                <c:pt idx="138">
                  <c:v>104.84744449290503</c:v>
                </c:pt>
                <c:pt idx="139">
                  <c:v>104.85297487141176</c:v>
                </c:pt>
                <c:pt idx="140">
                  <c:v>104.85917597786053</c:v>
                </c:pt>
                <c:pt idx="141">
                  <c:v>104.86494403530658</c:v>
                </c:pt>
                <c:pt idx="142">
                  <c:v>104.8703185280098</c:v>
                </c:pt>
                <c:pt idx="143">
                  <c:v>104.87533453194169</c:v>
                </c:pt>
                <c:pt idx="144">
                  <c:v>104.88002329355979</c:v>
                </c:pt>
                <c:pt idx="145">
                  <c:v>104.88511698511388</c:v>
                </c:pt>
                <c:pt idx="146">
                  <c:v>104.88918859189532</c:v>
                </c:pt>
                <c:pt idx="147">
                  <c:v>104.89362627382926</c:v>
                </c:pt>
                <c:pt idx="148">
                  <c:v>104.89775700851405</c:v>
                </c:pt>
                <c:pt idx="149">
                  <c:v>104.90160850587118</c:v>
                </c:pt>
                <c:pt idx="150">
                  <c:v>104.90520541370205</c:v>
                </c:pt>
                <c:pt idx="151">
                  <c:v>104.90903251469521</c:v>
                </c:pt>
                <c:pt idx="152">
                  <c:v>104.91215492988883</c:v>
                </c:pt>
                <c:pt idx="153">
                  <c:v>104.9154880561149</c:v>
                </c:pt>
                <c:pt idx="154">
                  <c:v>104.91859221249753</c:v>
                </c:pt>
                <c:pt idx="155">
                  <c:v>104.92148792381997</c:v>
                </c:pt>
                <c:pt idx="156">
                  <c:v>104.9241934631622</c:v>
                </c:pt>
                <c:pt idx="157">
                  <c:v>104.92703012179852</c:v>
                </c:pt>
                <c:pt idx="158">
                  <c:v>104.92938358030152</c:v>
                </c:pt>
                <c:pt idx="159">
                  <c:v>104.93185894019966</c:v>
                </c:pt>
                <c:pt idx="160">
                  <c:v>104.93416766929462</c:v>
                </c:pt>
                <c:pt idx="161">
                  <c:v>104.93632440704872</c:v>
                </c:pt>
                <c:pt idx="162">
                  <c:v>104.9385583641331</c:v>
                </c:pt>
                <c:pt idx="163">
                  <c:v>104.94063671870548</c:v>
                </c:pt>
                <c:pt idx="164">
                  <c:v>104.9425736036173</c:v>
                </c:pt>
                <c:pt idx="165">
                  <c:v>104.94438158175706</c:v>
                </c:pt>
                <c:pt idx="166">
                  <c:v>104.94607185091282</c:v>
                </c:pt>
                <c:pt idx="167">
                  <c:v>104.94780710466486</c:v>
                </c:pt>
                <c:pt idx="168">
                  <c:v>104.94942388930392</c:v>
                </c:pt>
                <c:pt idx="169">
                  <c:v>104.95093275475475</c:v>
                </c:pt>
                <c:pt idx="170">
                  <c:v>104.95234310155431</c:v>
                </c:pt>
                <c:pt idx="171">
                  <c:v>104.95377914608385</c:v>
                </c:pt>
                <c:pt idx="172">
                  <c:v>104.95511764361163</c:v>
                </c:pt>
                <c:pt idx="173">
                  <c:v>104.9563672372141</c:v>
                </c:pt>
                <c:pt idx="174">
                  <c:v>104.95762955552007</c:v>
                </c:pt>
                <c:pt idx="175">
                  <c:v>104.95871773756804</c:v>
                </c:pt>
                <c:pt idx="176">
                  <c:v>104.95982043524604</c:v>
                </c:pt>
                <c:pt idx="177">
                  <c:v>104.96092711683978</c:v>
                </c:pt>
                <c:pt idx="178">
                  <c:v>104.96195749287421</c:v>
                </c:pt>
                <c:pt idx="179">
                  <c:v>104.96291842299108</c:v>
                </c:pt>
                <c:pt idx="180">
                  <c:v>104.96381601271351</c:v>
                </c:pt>
                <c:pt idx="181">
                  <c:v>104.96471360605895</c:v>
                </c:pt>
                <c:pt idx="182">
                  <c:v>104.96555070827385</c:v>
                </c:pt>
                <c:pt idx="183">
                  <c:v>104.96633263689037</c:v>
                </c:pt>
                <c:pt idx="184">
                  <c:v>104.96711121790243</c:v>
                </c:pt>
                <c:pt idx="185">
                  <c:v>104.9678375521359</c:v>
                </c:pt>
                <c:pt idx="186">
                  <c:v>104.96851621305504</c:v>
                </c:pt>
                <c:pt idx="187">
                  <c:v>104.96918961450076</c:v>
                </c:pt>
                <c:pt idx="188">
                  <c:v>104.96985383572425</c:v>
                </c:pt>
                <c:pt idx="189">
                  <c:v>104.970439150217</c:v>
                </c:pt>
                <c:pt idx="190">
                  <c:v>104.97101833712955</c:v>
                </c:pt>
                <c:pt idx="191">
                  <c:v>104.97158841060745</c:v>
                </c:pt>
                <c:pt idx="192">
                  <c:v>104.97211984393282</c:v>
                </c:pt>
                <c:pt idx="193">
                  <c:v>104.97261605256213</c:v>
                </c:pt>
                <c:pt idx="194">
                  <c:v>104.97310366690922</c:v>
                </c:pt>
                <c:pt idx="195">
                  <c:v>104.9735587915244</c:v>
                </c:pt>
                <c:pt idx="196">
                  <c:v>104.97400479111349</c:v>
                </c:pt>
                <c:pt idx="197">
                  <c:v>104.97442099538743</c:v>
                </c:pt>
                <c:pt idx="198">
                  <c:v>104.97482788698868</c:v>
                </c:pt>
                <c:pt idx="199">
                  <c:v>104.97520758571888</c:v>
                </c:pt>
                <c:pt idx="200">
                  <c:v>104.97557803827134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571-451C-ADE6-EECD4F5CD2D1}"/>
            </c:ext>
          </c:extLst>
        </c:ser>
        <c:ser>
          <c:idx val="1"/>
          <c:order val="2"/>
          <c:tx>
            <c:v>Port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Calculations!$B$11:$B$211</c:f>
              <c:numCache>
                <c:formatCode>0.0</c:formatCode>
                <c:ptCount val="201"/>
                <c:pt idx="0">
                  <c:v>10</c:v>
                </c:pt>
                <c:pt idx="1">
                  <c:v>10.199999999999999</c:v>
                </c:pt>
                <c:pt idx="2">
                  <c:v>10.5</c:v>
                </c:pt>
                <c:pt idx="3">
                  <c:v>10.7</c:v>
                </c:pt>
                <c:pt idx="4">
                  <c:v>11</c:v>
                </c:pt>
                <c:pt idx="5">
                  <c:v>11.2</c:v>
                </c:pt>
                <c:pt idx="6">
                  <c:v>11.5</c:v>
                </c:pt>
                <c:pt idx="7">
                  <c:v>11.7</c:v>
                </c:pt>
                <c:pt idx="8">
                  <c:v>12</c:v>
                </c:pt>
                <c:pt idx="9">
                  <c:v>12.3</c:v>
                </c:pt>
                <c:pt idx="10">
                  <c:v>12.6</c:v>
                </c:pt>
                <c:pt idx="11">
                  <c:v>12.9</c:v>
                </c:pt>
                <c:pt idx="12">
                  <c:v>13.2</c:v>
                </c:pt>
                <c:pt idx="13">
                  <c:v>13.5</c:v>
                </c:pt>
                <c:pt idx="14">
                  <c:v>13.8</c:v>
                </c:pt>
                <c:pt idx="15">
                  <c:v>14.1</c:v>
                </c:pt>
                <c:pt idx="16">
                  <c:v>14.5</c:v>
                </c:pt>
                <c:pt idx="17">
                  <c:v>14.8</c:v>
                </c:pt>
                <c:pt idx="18">
                  <c:v>15.1</c:v>
                </c:pt>
                <c:pt idx="19">
                  <c:v>15.5</c:v>
                </c:pt>
                <c:pt idx="20">
                  <c:v>15.8</c:v>
                </c:pt>
                <c:pt idx="21">
                  <c:v>16.2</c:v>
                </c:pt>
                <c:pt idx="22">
                  <c:v>16.600000000000001</c:v>
                </c:pt>
                <c:pt idx="23">
                  <c:v>17</c:v>
                </c:pt>
                <c:pt idx="24">
                  <c:v>17.399999999999999</c:v>
                </c:pt>
                <c:pt idx="25">
                  <c:v>17.8</c:v>
                </c:pt>
                <c:pt idx="26">
                  <c:v>18.2</c:v>
                </c:pt>
                <c:pt idx="27">
                  <c:v>18.600000000000001</c:v>
                </c:pt>
                <c:pt idx="28">
                  <c:v>19.100000000000001</c:v>
                </c:pt>
                <c:pt idx="29">
                  <c:v>19.5</c:v>
                </c:pt>
                <c:pt idx="30">
                  <c:v>20</c:v>
                </c:pt>
                <c:pt idx="31">
                  <c:v>20.399999999999999</c:v>
                </c:pt>
                <c:pt idx="32">
                  <c:v>20.9</c:v>
                </c:pt>
                <c:pt idx="33">
                  <c:v>21.4</c:v>
                </c:pt>
                <c:pt idx="34">
                  <c:v>21.9</c:v>
                </c:pt>
                <c:pt idx="35">
                  <c:v>22.4</c:v>
                </c:pt>
                <c:pt idx="36">
                  <c:v>22.9</c:v>
                </c:pt>
                <c:pt idx="37">
                  <c:v>23.4</c:v>
                </c:pt>
                <c:pt idx="38">
                  <c:v>24</c:v>
                </c:pt>
                <c:pt idx="39">
                  <c:v>24.5</c:v>
                </c:pt>
                <c:pt idx="40">
                  <c:v>25.1</c:v>
                </c:pt>
                <c:pt idx="41">
                  <c:v>25.7</c:v>
                </c:pt>
                <c:pt idx="42">
                  <c:v>26.3</c:v>
                </c:pt>
                <c:pt idx="43">
                  <c:v>26.9</c:v>
                </c:pt>
                <c:pt idx="44">
                  <c:v>27.5</c:v>
                </c:pt>
                <c:pt idx="45">
                  <c:v>28.2</c:v>
                </c:pt>
                <c:pt idx="46">
                  <c:v>28.8</c:v>
                </c:pt>
                <c:pt idx="47">
                  <c:v>29.5</c:v>
                </c:pt>
                <c:pt idx="48">
                  <c:v>30.2</c:v>
                </c:pt>
                <c:pt idx="49">
                  <c:v>30.9</c:v>
                </c:pt>
                <c:pt idx="50">
                  <c:v>31.6</c:v>
                </c:pt>
                <c:pt idx="51">
                  <c:v>32.4</c:v>
                </c:pt>
                <c:pt idx="52">
                  <c:v>33.1</c:v>
                </c:pt>
                <c:pt idx="53">
                  <c:v>33.9</c:v>
                </c:pt>
                <c:pt idx="54">
                  <c:v>34.700000000000003</c:v>
                </c:pt>
                <c:pt idx="55">
                  <c:v>35.5</c:v>
                </c:pt>
                <c:pt idx="56">
                  <c:v>36.299999999999997</c:v>
                </c:pt>
                <c:pt idx="57">
                  <c:v>37.200000000000003</c:v>
                </c:pt>
                <c:pt idx="58">
                  <c:v>38</c:v>
                </c:pt>
                <c:pt idx="59">
                  <c:v>38.9</c:v>
                </c:pt>
                <c:pt idx="60">
                  <c:v>39.799999999999997</c:v>
                </c:pt>
                <c:pt idx="61">
                  <c:v>40.700000000000003</c:v>
                </c:pt>
                <c:pt idx="62">
                  <c:v>41.7</c:v>
                </c:pt>
                <c:pt idx="63">
                  <c:v>42.7</c:v>
                </c:pt>
                <c:pt idx="64">
                  <c:v>43.7</c:v>
                </c:pt>
                <c:pt idx="65">
                  <c:v>44.7</c:v>
                </c:pt>
                <c:pt idx="66">
                  <c:v>45.7</c:v>
                </c:pt>
                <c:pt idx="67">
                  <c:v>46.8</c:v>
                </c:pt>
                <c:pt idx="68">
                  <c:v>47.9</c:v>
                </c:pt>
                <c:pt idx="69">
                  <c:v>49</c:v>
                </c:pt>
                <c:pt idx="70">
                  <c:v>50.1</c:v>
                </c:pt>
                <c:pt idx="71">
                  <c:v>51.3</c:v>
                </c:pt>
                <c:pt idx="72">
                  <c:v>52.5</c:v>
                </c:pt>
                <c:pt idx="73">
                  <c:v>53.7</c:v>
                </c:pt>
                <c:pt idx="74">
                  <c:v>55</c:v>
                </c:pt>
                <c:pt idx="75">
                  <c:v>56.2</c:v>
                </c:pt>
                <c:pt idx="76">
                  <c:v>57.5</c:v>
                </c:pt>
                <c:pt idx="77">
                  <c:v>58.9</c:v>
                </c:pt>
                <c:pt idx="78">
                  <c:v>60.3</c:v>
                </c:pt>
                <c:pt idx="79">
                  <c:v>61.7</c:v>
                </c:pt>
                <c:pt idx="80">
                  <c:v>63.1</c:v>
                </c:pt>
                <c:pt idx="81">
                  <c:v>64.599999999999994</c:v>
                </c:pt>
                <c:pt idx="82">
                  <c:v>66.099999999999994</c:v>
                </c:pt>
                <c:pt idx="83">
                  <c:v>67.599999999999994</c:v>
                </c:pt>
                <c:pt idx="84">
                  <c:v>69.2</c:v>
                </c:pt>
                <c:pt idx="85">
                  <c:v>70.8</c:v>
                </c:pt>
                <c:pt idx="86">
                  <c:v>72.400000000000006</c:v>
                </c:pt>
                <c:pt idx="87">
                  <c:v>74.099999999999994</c:v>
                </c:pt>
                <c:pt idx="88">
                  <c:v>75.900000000000006</c:v>
                </c:pt>
                <c:pt idx="89">
                  <c:v>77.599999999999994</c:v>
                </c:pt>
                <c:pt idx="90">
                  <c:v>79.400000000000006</c:v>
                </c:pt>
                <c:pt idx="91">
                  <c:v>81.3</c:v>
                </c:pt>
                <c:pt idx="92">
                  <c:v>83.2</c:v>
                </c:pt>
                <c:pt idx="93">
                  <c:v>85.1</c:v>
                </c:pt>
                <c:pt idx="94">
                  <c:v>87.1</c:v>
                </c:pt>
                <c:pt idx="95">
                  <c:v>89.1</c:v>
                </c:pt>
                <c:pt idx="96">
                  <c:v>91.2</c:v>
                </c:pt>
                <c:pt idx="97">
                  <c:v>93.3</c:v>
                </c:pt>
                <c:pt idx="98">
                  <c:v>95.5</c:v>
                </c:pt>
                <c:pt idx="99">
                  <c:v>97.7</c:v>
                </c:pt>
                <c:pt idx="100" formatCode="0">
                  <c:v>100</c:v>
                </c:pt>
                <c:pt idx="101" formatCode="0">
                  <c:v>102</c:v>
                </c:pt>
                <c:pt idx="102" formatCode="0">
                  <c:v>105</c:v>
                </c:pt>
                <c:pt idx="103" formatCode="0">
                  <c:v>107</c:v>
                </c:pt>
                <c:pt idx="104" formatCode="0">
                  <c:v>110</c:v>
                </c:pt>
                <c:pt idx="105" formatCode="0">
                  <c:v>112</c:v>
                </c:pt>
                <c:pt idx="106" formatCode="0">
                  <c:v>115</c:v>
                </c:pt>
                <c:pt idx="107" formatCode="0">
                  <c:v>117</c:v>
                </c:pt>
                <c:pt idx="108" formatCode="0">
                  <c:v>120</c:v>
                </c:pt>
                <c:pt idx="109" formatCode="0">
                  <c:v>123</c:v>
                </c:pt>
                <c:pt idx="110" formatCode="0">
                  <c:v>126</c:v>
                </c:pt>
                <c:pt idx="111" formatCode="0">
                  <c:v>129</c:v>
                </c:pt>
                <c:pt idx="112" formatCode="0">
                  <c:v>132</c:v>
                </c:pt>
                <c:pt idx="113" formatCode="0">
                  <c:v>135</c:v>
                </c:pt>
                <c:pt idx="114" formatCode="0">
                  <c:v>138</c:v>
                </c:pt>
                <c:pt idx="115" formatCode="0">
                  <c:v>141</c:v>
                </c:pt>
                <c:pt idx="116" formatCode="0">
                  <c:v>145</c:v>
                </c:pt>
                <c:pt idx="117" formatCode="0">
                  <c:v>148</c:v>
                </c:pt>
                <c:pt idx="118" formatCode="0">
                  <c:v>151</c:v>
                </c:pt>
                <c:pt idx="119" formatCode="0">
                  <c:v>155</c:v>
                </c:pt>
                <c:pt idx="120" formatCode="0">
                  <c:v>158</c:v>
                </c:pt>
                <c:pt idx="121" formatCode="0">
                  <c:v>162</c:v>
                </c:pt>
                <c:pt idx="122" formatCode="0">
                  <c:v>166</c:v>
                </c:pt>
                <c:pt idx="123" formatCode="0">
                  <c:v>170</c:v>
                </c:pt>
                <c:pt idx="124" formatCode="0">
                  <c:v>174</c:v>
                </c:pt>
                <c:pt idx="125" formatCode="0">
                  <c:v>178</c:v>
                </c:pt>
                <c:pt idx="126" formatCode="0">
                  <c:v>182</c:v>
                </c:pt>
                <c:pt idx="127" formatCode="0">
                  <c:v>186</c:v>
                </c:pt>
                <c:pt idx="128" formatCode="0">
                  <c:v>191</c:v>
                </c:pt>
                <c:pt idx="129" formatCode="0">
                  <c:v>195</c:v>
                </c:pt>
                <c:pt idx="130" formatCode="0">
                  <c:v>200</c:v>
                </c:pt>
                <c:pt idx="131" formatCode="0">
                  <c:v>204</c:v>
                </c:pt>
                <c:pt idx="132" formatCode="0">
                  <c:v>209</c:v>
                </c:pt>
                <c:pt idx="133" formatCode="0">
                  <c:v>214</c:v>
                </c:pt>
                <c:pt idx="134" formatCode="0">
                  <c:v>219</c:v>
                </c:pt>
                <c:pt idx="135" formatCode="0">
                  <c:v>224</c:v>
                </c:pt>
                <c:pt idx="136" formatCode="0">
                  <c:v>229</c:v>
                </c:pt>
                <c:pt idx="137" formatCode="0">
                  <c:v>234</c:v>
                </c:pt>
                <c:pt idx="138" formatCode="0">
                  <c:v>240</c:v>
                </c:pt>
                <c:pt idx="139" formatCode="0">
                  <c:v>245</c:v>
                </c:pt>
                <c:pt idx="140" formatCode="0">
                  <c:v>251</c:v>
                </c:pt>
                <c:pt idx="141" formatCode="0">
                  <c:v>257</c:v>
                </c:pt>
                <c:pt idx="142" formatCode="0">
                  <c:v>263</c:v>
                </c:pt>
                <c:pt idx="143" formatCode="0">
                  <c:v>269</c:v>
                </c:pt>
                <c:pt idx="144" formatCode="0">
                  <c:v>275</c:v>
                </c:pt>
                <c:pt idx="145" formatCode="0">
                  <c:v>282</c:v>
                </c:pt>
                <c:pt idx="146" formatCode="0">
                  <c:v>288</c:v>
                </c:pt>
                <c:pt idx="147" formatCode="0">
                  <c:v>295</c:v>
                </c:pt>
                <c:pt idx="148" formatCode="0">
                  <c:v>302</c:v>
                </c:pt>
                <c:pt idx="149" formatCode="0">
                  <c:v>309</c:v>
                </c:pt>
                <c:pt idx="150" formatCode="0">
                  <c:v>316</c:v>
                </c:pt>
                <c:pt idx="151" formatCode="0">
                  <c:v>324</c:v>
                </c:pt>
                <c:pt idx="152" formatCode="0">
                  <c:v>331</c:v>
                </c:pt>
                <c:pt idx="153" formatCode="0">
                  <c:v>339</c:v>
                </c:pt>
                <c:pt idx="154" formatCode="0">
                  <c:v>347</c:v>
                </c:pt>
                <c:pt idx="155" formatCode="0">
                  <c:v>355</c:v>
                </c:pt>
                <c:pt idx="156" formatCode="0">
                  <c:v>363</c:v>
                </c:pt>
                <c:pt idx="157" formatCode="0">
                  <c:v>372</c:v>
                </c:pt>
                <c:pt idx="158" formatCode="0">
                  <c:v>380</c:v>
                </c:pt>
                <c:pt idx="159" formatCode="0">
                  <c:v>389</c:v>
                </c:pt>
                <c:pt idx="160" formatCode="0">
                  <c:v>398</c:v>
                </c:pt>
                <c:pt idx="161" formatCode="0">
                  <c:v>407</c:v>
                </c:pt>
                <c:pt idx="162" formatCode="0">
                  <c:v>417</c:v>
                </c:pt>
                <c:pt idx="163" formatCode="0">
                  <c:v>427</c:v>
                </c:pt>
                <c:pt idx="164" formatCode="0">
                  <c:v>437</c:v>
                </c:pt>
                <c:pt idx="165" formatCode="0">
                  <c:v>447</c:v>
                </c:pt>
                <c:pt idx="166" formatCode="0">
                  <c:v>457</c:v>
                </c:pt>
                <c:pt idx="167" formatCode="0">
                  <c:v>468</c:v>
                </c:pt>
                <c:pt idx="168" formatCode="0">
                  <c:v>479</c:v>
                </c:pt>
                <c:pt idx="169" formatCode="0">
                  <c:v>490</c:v>
                </c:pt>
                <c:pt idx="170" formatCode="0">
                  <c:v>501</c:v>
                </c:pt>
                <c:pt idx="171" formatCode="0">
                  <c:v>513</c:v>
                </c:pt>
                <c:pt idx="172" formatCode="0">
                  <c:v>525</c:v>
                </c:pt>
                <c:pt idx="173" formatCode="0">
                  <c:v>537</c:v>
                </c:pt>
                <c:pt idx="174" formatCode="0">
                  <c:v>550</c:v>
                </c:pt>
                <c:pt idx="175" formatCode="0">
                  <c:v>562</c:v>
                </c:pt>
                <c:pt idx="176" formatCode="0">
                  <c:v>575</c:v>
                </c:pt>
                <c:pt idx="177" formatCode="0">
                  <c:v>589</c:v>
                </c:pt>
                <c:pt idx="178" formatCode="0">
                  <c:v>603</c:v>
                </c:pt>
                <c:pt idx="179" formatCode="0">
                  <c:v>617</c:v>
                </c:pt>
                <c:pt idx="180" formatCode="0">
                  <c:v>631</c:v>
                </c:pt>
                <c:pt idx="181" formatCode="0">
                  <c:v>646</c:v>
                </c:pt>
                <c:pt idx="182" formatCode="0">
                  <c:v>661</c:v>
                </c:pt>
                <c:pt idx="183" formatCode="0">
                  <c:v>676</c:v>
                </c:pt>
                <c:pt idx="184" formatCode="0">
                  <c:v>692</c:v>
                </c:pt>
                <c:pt idx="185" formatCode="0">
                  <c:v>708</c:v>
                </c:pt>
                <c:pt idx="186" formatCode="0">
                  <c:v>724</c:v>
                </c:pt>
                <c:pt idx="187" formatCode="0">
                  <c:v>741</c:v>
                </c:pt>
                <c:pt idx="188" formatCode="0">
                  <c:v>759</c:v>
                </c:pt>
                <c:pt idx="189" formatCode="0">
                  <c:v>776</c:v>
                </c:pt>
                <c:pt idx="190" formatCode="0">
                  <c:v>794</c:v>
                </c:pt>
                <c:pt idx="191" formatCode="0">
                  <c:v>813</c:v>
                </c:pt>
                <c:pt idx="192" formatCode="0">
                  <c:v>832</c:v>
                </c:pt>
                <c:pt idx="193" formatCode="0">
                  <c:v>851</c:v>
                </c:pt>
                <c:pt idx="194" formatCode="0">
                  <c:v>871</c:v>
                </c:pt>
                <c:pt idx="195" formatCode="0">
                  <c:v>891</c:v>
                </c:pt>
                <c:pt idx="196" formatCode="0">
                  <c:v>912</c:v>
                </c:pt>
                <c:pt idx="197" formatCode="0">
                  <c:v>933</c:v>
                </c:pt>
                <c:pt idx="198" formatCode="0">
                  <c:v>955</c:v>
                </c:pt>
                <c:pt idx="199" formatCode="0">
                  <c:v>977</c:v>
                </c:pt>
                <c:pt idx="200" formatCode="0">
                  <c:v>1000</c:v>
                </c:pt>
              </c:numCache>
            </c:numRef>
          </c:xVal>
          <c:yVal>
            <c:numRef>
              <c:f>Calculations!$V$11:$V$211</c:f>
              <c:numCache>
                <c:formatCode>0.00</c:formatCode>
                <c:ptCount val="201"/>
                <c:pt idx="0">
                  <c:v>85.886005589429402</c:v>
                </c:pt>
                <c:pt idx="1">
                  <c:v>86.229955857990262</c:v>
                </c:pt>
                <c:pt idx="2">
                  <c:v>86.733409129911863</c:v>
                </c:pt>
                <c:pt idx="3">
                  <c:v>87.061092805507514</c:v>
                </c:pt>
                <c:pt idx="4">
                  <c:v>87.541268743439943</c:v>
                </c:pt>
                <c:pt idx="5">
                  <c:v>87.854133434955273</c:v>
                </c:pt>
                <c:pt idx="6">
                  <c:v>88.313052760085839</c:v>
                </c:pt>
                <c:pt idx="7">
                  <c:v>88.612353133827426</c:v>
                </c:pt>
                <c:pt idx="8">
                  <c:v>89.051771281714281</c:v>
                </c:pt>
                <c:pt idx="9">
                  <c:v>89.480236488634617</c:v>
                </c:pt>
                <c:pt idx="10">
                  <c:v>89.898256594596432</c:v>
                </c:pt>
                <c:pt idx="11">
                  <c:v>90.306300429838458</c:v>
                </c:pt>
                <c:pt idx="12">
                  <c:v>90.704801011364466</c:v>
                </c:pt>
                <c:pt idx="13">
                  <c:v>91.094158344016307</c:v>
                </c:pt>
                <c:pt idx="14">
                  <c:v>91.474741876286316</c:v>
                </c:pt>
                <c:pt idx="15">
                  <c:v>91.846892653588384</c:v>
                </c:pt>
                <c:pt idx="16">
                  <c:v>92.330516092686196</c:v>
                </c:pt>
                <c:pt idx="17">
                  <c:v>92.684170850991194</c:v>
                </c:pt>
                <c:pt idx="18">
                  <c:v>93.030347067807369</c:v>
                </c:pt>
                <c:pt idx="19">
                  <c:v>93.480688626008671</c:v>
                </c:pt>
                <c:pt idx="20">
                  <c:v>93.810300735123221</c:v>
                </c:pt>
                <c:pt idx="21">
                  <c:v>94.239286111748584</c:v>
                </c:pt>
                <c:pt idx="22">
                  <c:v>94.656636543438353</c:v>
                </c:pt>
                <c:pt idx="23">
                  <c:v>95.062693990490871</c:v>
                </c:pt>
                <c:pt idx="24">
                  <c:v>95.457745849359327</c:v>
                </c:pt>
                <c:pt idx="25">
                  <c:v>95.842026750610046</c:v>
                </c:pt>
                <c:pt idx="26">
                  <c:v>96.215720056986981</c:v>
                </c:pt>
                <c:pt idx="27">
                  <c:v>96.578959150105845</c:v>
                </c:pt>
                <c:pt idx="28">
                  <c:v>97.0184310529404</c:v>
                </c:pt>
                <c:pt idx="29">
                  <c:v>97.358384833997732</c:v>
                </c:pt>
                <c:pt idx="30">
                  <c:v>97.768763016704895</c:v>
                </c:pt>
                <c:pt idx="31">
                  <c:v>98.085327601585718</c:v>
                </c:pt>
                <c:pt idx="32">
                  <c:v>98.466165527980692</c:v>
                </c:pt>
                <c:pt idx="33">
                  <c:v>98.830180086374369</c:v>
                </c:pt>
                <c:pt idx="34">
                  <c:v>99.17696141829795</c:v>
                </c:pt>
                <c:pt idx="35">
                  <c:v>99.506021507548581</c:v>
                </c:pt>
                <c:pt idx="36">
                  <c:v>99.81680829846627</c:v>
                </c:pt>
                <c:pt idx="37">
                  <c:v>100.10872291840201</c:v>
                </c:pt>
                <c:pt idx="38">
                  <c:v>100.4332282403318</c:v>
                </c:pt>
                <c:pt idx="39">
                  <c:v>100.68142031862251</c:v>
                </c:pt>
                <c:pt idx="40">
                  <c:v>100.95168253552174</c:v>
                </c:pt>
                <c:pt idx="41">
                  <c:v>101.19100392797726</c:v>
                </c:pt>
                <c:pt idx="42">
                  <c:v>101.3986453660351</c:v>
                </c:pt>
                <c:pt idx="43">
                  <c:v>101.57411532963991</c:v>
                </c:pt>
                <c:pt idx="44">
                  <c:v>101.71722380697076</c:v>
                </c:pt>
                <c:pt idx="45">
                  <c:v>101.8435027527517</c:v>
                </c:pt>
                <c:pt idx="46">
                  <c:v>101.91749036971792</c:v>
                </c:pt>
                <c:pt idx="47">
                  <c:v>101.96515015116965</c:v>
                </c:pt>
                <c:pt idx="48">
                  <c:v>101.97313670826733</c:v>
                </c:pt>
                <c:pt idx="49">
                  <c:v>101.9440046576444</c:v>
                </c:pt>
                <c:pt idx="50">
                  <c:v>101.8807032869608</c:v>
                </c:pt>
                <c:pt idx="51">
                  <c:v>101.77063866000823</c:v>
                </c:pt>
                <c:pt idx="52">
                  <c:v>101.64506405746909</c:v>
                </c:pt>
                <c:pt idx="53">
                  <c:v>101.47254658497631</c:v>
                </c:pt>
                <c:pt idx="54">
                  <c:v>101.27364556422731</c:v>
                </c:pt>
                <c:pt idx="55">
                  <c:v>101.05278802135405</c:v>
                </c:pt>
                <c:pt idx="56">
                  <c:v>100.81398449443415</c:v>
                </c:pt>
                <c:pt idx="57">
                  <c:v>100.52828780056551</c:v>
                </c:pt>
                <c:pt idx="58">
                  <c:v>100.26258062795375</c:v>
                </c:pt>
                <c:pt idx="59">
                  <c:v>99.95380674552888</c:v>
                </c:pt>
                <c:pt idx="60">
                  <c:v>99.63757157076806</c:v>
                </c:pt>
                <c:pt idx="61">
                  <c:v>99.316414475990229</c:v>
                </c:pt>
                <c:pt idx="62">
                  <c:v>98.956286620858563</c:v>
                </c:pt>
                <c:pt idx="63">
                  <c:v>98.594845916437052</c:v>
                </c:pt>
                <c:pt idx="64">
                  <c:v>98.233822994417039</c:v>
                </c:pt>
                <c:pt idx="65">
                  <c:v>97.874543225084636</c:v>
                </c:pt>
                <c:pt idx="66">
                  <c:v>97.51800983679783</c:v>
                </c:pt>
                <c:pt idx="67">
                  <c:v>97.129882876465558</c:v>
                </c:pt>
                <c:pt idx="68">
                  <c:v>96.746702196108458</c:v>
                </c:pt>
                <c:pt idx="69">
                  <c:v>96.368965692954504</c:v>
                </c:pt>
                <c:pt idx="70">
                  <c:v>95.997001863939261</c:v>
                </c:pt>
                <c:pt idx="71">
                  <c:v>95.598039737186468</c:v>
                </c:pt>
                <c:pt idx="72">
                  <c:v>95.206315515980165</c:v>
                </c:pt>
                <c:pt idx="73">
                  <c:v>94.821860796845371</c:v>
                </c:pt>
                <c:pt idx="74">
                  <c:v>94.41352358590288</c:v>
                </c:pt>
                <c:pt idx="75">
                  <c:v>94.044025219259623</c:v>
                </c:pt>
                <c:pt idx="76">
                  <c:v>93.651628041176878</c:v>
                </c:pt>
                <c:pt idx="77">
                  <c:v>93.238005803716646</c:v>
                </c:pt>
                <c:pt idx="78">
                  <c:v>92.833409439146806</c:v>
                </c:pt>
                <c:pt idx="79">
                  <c:v>92.43755235282066</c:v>
                </c:pt>
                <c:pt idx="80">
                  <c:v>92.050141508746066</c:v>
                </c:pt>
                <c:pt idx="81">
                  <c:v>91.644097987863091</c:v>
                </c:pt>
                <c:pt idx="82">
                  <c:v>91.247057964630528</c:v>
                </c:pt>
                <c:pt idx="83">
                  <c:v>90.85867468583821</c:v>
                </c:pt>
                <c:pt idx="84">
                  <c:v>90.453563296571801</c:v>
                </c:pt>
                <c:pt idx="85">
                  <c:v>90.057529315785928</c:v>
                </c:pt>
                <c:pt idx="86">
                  <c:v>89.67019971241325</c:v>
                </c:pt>
                <c:pt idx="87">
                  <c:v>89.267802612256787</c:v>
                </c:pt>
                <c:pt idx="88">
                  <c:v>88.851560519399456</c:v>
                </c:pt>
                <c:pt idx="89">
                  <c:v>88.467322570423221</c:v>
                </c:pt>
                <c:pt idx="90">
                  <c:v>88.069477323541619</c:v>
                </c:pt>
                <c:pt idx="91">
                  <c:v>87.659131447278966</c:v>
                </c:pt>
                <c:pt idx="92">
                  <c:v>87.258211154953301</c:v>
                </c:pt>
                <c:pt idx="93">
                  <c:v>86.866300104054076</c:v>
                </c:pt>
                <c:pt idx="94">
                  <c:v>86.463066088901854</c:v>
                </c:pt>
                <c:pt idx="95">
                  <c:v>86.068955015385399</c:v>
                </c:pt>
                <c:pt idx="96">
                  <c:v>85.664519741711715</c:v>
                </c:pt>
                <c:pt idx="97">
                  <c:v>85.269268609090972</c:v>
                </c:pt>
                <c:pt idx="98">
                  <c:v>84.864605357070786</c:v>
                </c:pt>
                <c:pt idx="99">
                  <c:v>84.46914158767278</c:v>
                </c:pt>
                <c:pt idx="100">
                  <c:v>84.065096790361139</c:v>
                </c:pt>
                <c:pt idx="101">
                  <c:v>83.72122622704839</c:v>
                </c:pt>
                <c:pt idx="102">
                  <c:v>83.217845323782939</c:v>
                </c:pt>
                <c:pt idx="103">
                  <c:v>82.890177429801426</c:v>
                </c:pt>
                <c:pt idx="104">
                  <c:v>82.409973392599568</c:v>
                </c:pt>
                <c:pt idx="105">
                  <c:v>82.097052923707921</c:v>
                </c:pt>
                <c:pt idx="106">
                  <c:v>81.637988817742283</c:v>
                </c:pt>
                <c:pt idx="107">
                  <c:v>81.338547245563149</c:v>
                </c:pt>
                <c:pt idx="108">
                  <c:v>80.89884232740674</c:v>
                </c:pt>
                <c:pt idx="109">
                  <c:v>80.469989189487563</c:v>
                </c:pt>
                <c:pt idx="110">
                  <c:v>80.05146545752342</c:v>
                </c:pt>
                <c:pt idx="111">
                  <c:v>79.642785523177366</c:v>
                </c:pt>
                <c:pt idx="112">
                  <c:v>79.243497186724426</c:v>
                </c:pt>
                <c:pt idx="113">
                  <c:v>78.853178671263606</c:v>
                </c:pt>
                <c:pt idx="114">
                  <c:v>78.471435960959198</c:v>
                </c:pt>
                <c:pt idx="115">
                  <c:v>78.097900422541514</c:v>
                </c:pt>
                <c:pt idx="116">
                  <c:v>77.612025902664158</c:v>
                </c:pt>
                <c:pt idx="117">
                  <c:v>77.256333916564145</c:v>
                </c:pt>
                <c:pt idx="118">
                  <c:v>76.907777872910444</c:v>
                </c:pt>
                <c:pt idx="119">
                  <c:v>76.453654128686125</c:v>
                </c:pt>
                <c:pt idx="120">
                  <c:v>76.120685085962492</c:v>
                </c:pt>
                <c:pt idx="121">
                  <c:v>75.686426107492252</c:v>
                </c:pt>
                <c:pt idx="122">
                  <c:v>75.262757244548865</c:v>
                </c:pt>
                <c:pt idx="123">
                  <c:v>74.849174318470887</c:v>
                </c:pt>
                <c:pt idx="124">
                  <c:v>74.445208313006844</c:v>
                </c:pt>
                <c:pt idx="125">
                  <c:v>74.050422179896202</c:v>
                </c:pt>
                <c:pt idx="126">
                  <c:v>73.664407998916815</c:v>
                </c:pt>
                <c:pt idx="127">
                  <c:v>73.286784446283662</c:v>
                </c:pt>
                <c:pt idx="128">
                  <c:v>72.826012625564317</c:v>
                </c:pt>
                <c:pt idx="129">
                  <c:v>72.465996549535575</c:v>
                </c:pt>
                <c:pt idx="130">
                  <c:v>72.026220567064186</c:v>
                </c:pt>
                <c:pt idx="131">
                  <c:v>71.682243209332142</c:v>
                </c:pt>
                <c:pt idx="132">
                  <c:v>71.261633068589447</c:v>
                </c:pt>
                <c:pt idx="133">
                  <c:v>70.850965860156663</c:v>
                </c:pt>
                <c:pt idx="134">
                  <c:v>70.449782359790731</c:v>
                </c:pt>
                <c:pt idx="135">
                  <c:v>70.057654439241162</c:v>
                </c:pt>
                <c:pt idx="136">
                  <c:v>69.674182320775785</c:v>
                </c:pt>
                <c:pt idx="137">
                  <c:v>69.298992128143666</c:v>
                </c:pt>
                <c:pt idx="138">
                  <c:v>68.859204558359735</c:v>
                </c:pt>
                <c:pt idx="139">
                  <c:v>68.501032516530344</c:v>
                </c:pt>
                <c:pt idx="140">
                  <c:v>68.08075138054781</c:v>
                </c:pt>
                <c:pt idx="141">
                  <c:v>67.670398009412381</c:v>
                </c:pt>
                <c:pt idx="142">
                  <c:v>67.269514204670202</c:v>
                </c:pt>
                <c:pt idx="143">
                  <c:v>66.877672773505466</c:v>
                </c:pt>
                <c:pt idx="144">
                  <c:v>66.49447479295722</c:v>
                </c:pt>
                <c:pt idx="145">
                  <c:v>66.057838430594813</c:v>
                </c:pt>
                <c:pt idx="146">
                  <c:v>65.692119444134363</c:v>
                </c:pt>
                <c:pt idx="147">
                  <c:v>65.274955993450021</c:v>
                </c:pt>
                <c:pt idx="148">
                  <c:v>64.86757539900465</c:v>
                </c:pt>
                <c:pt idx="149">
                  <c:v>64.469529336316469</c:v>
                </c:pt>
                <c:pt idx="150">
                  <c:v>64.080399609365074</c:v>
                </c:pt>
                <c:pt idx="151">
                  <c:v>63.646097852174613</c:v>
                </c:pt>
                <c:pt idx="152">
                  <c:v>63.274791048367305</c:v>
                </c:pt>
                <c:pt idx="153">
                  <c:v>62.859936274658885</c:v>
                </c:pt>
                <c:pt idx="154">
                  <c:v>62.454757710795008</c:v>
                </c:pt>
                <c:pt idx="155">
                  <c:v>62.058814255353326</c:v>
                </c:pt>
                <c:pt idx="156">
                  <c:v>61.671694297466189</c:v>
                </c:pt>
                <c:pt idx="157">
                  <c:v>61.24625316776752</c:v>
                </c:pt>
                <c:pt idx="158">
                  <c:v>60.876636420197201</c:v>
                </c:pt>
                <c:pt idx="159">
                  <c:v>60.470006257172876</c:v>
                </c:pt>
                <c:pt idx="160">
                  <c:v>60.072676787264029</c:v>
                </c:pt>
                <c:pt idx="161">
                  <c:v>59.684232053347742</c:v>
                </c:pt>
                <c:pt idx="162">
                  <c:v>59.262575297414969</c:v>
                </c:pt>
                <c:pt idx="163">
                  <c:v>58.8509109451211</c:v>
                </c:pt>
                <c:pt idx="164">
                  <c:v>58.448776348666662</c:v>
                </c:pt>
                <c:pt idx="165">
                  <c:v>58.055740264930591</c:v>
                </c:pt>
                <c:pt idx="166">
                  <c:v>57.671400075942081</c:v>
                </c:pt>
                <c:pt idx="167">
                  <c:v>57.258221032818668</c:v>
                </c:pt>
                <c:pt idx="168">
                  <c:v>56.854641217821097</c:v>
                </c:pt>
                <c:pt idx="169">
                  <c:v>56.460224715555867</c:v>
                </c:pt>
                <c:pt idx="170">
                  <c:v>56.074564645548655</c:v>
                </c:pt>
                <c:pt idx="171">
                  <c:v>55.663384947906877</c:v>
                </c:pt>
                <c:pt idx="172">
                  <c:v>55.26171289265924</c:v>
                </c:pt>
                <c:pt idx="173">
                  <c:v>54.869118716518052</c:v>
                </c:pt>
                <c:pt idx="174">
                  <c:v>54.453587735211038</c:v>
                </c:pt>
                <c:pt idx="175">
                  <c:v>54.078647151681515</c:v>
                </c:pt>
                <c:pt idx="176">
                  <c:v>53.681390507932761</c:v>
                </c:pt>
                <c:pt idx="177">
                  <c:v>53.263497043593794</c:v>
                </c:pt>
                <c:pt idx="178">
                  <c:v>52.855420577968417</c:v>
                </c:pt>
                <c:pt idx="179">
                  <c:v>52.456710447432144</c:v>
                </c:pt>
                <c:pt idx="180">
                  <c:v>52.066946325604214</c:v>
                </c:pt>
                <c:pt idx="181">
                  <c:v>51.658823663609567</c:v>
                </c:pt>
                <c:pt idx="182">
                  <c:v>51.260069444764788</c:v>
                </c:pt>
                <c:pt idx="183">
                  <c:v>50.870263201637059</c:v>
                </c:pt>
                <c:pt idx="184">
                  <c:v>50.46389046345211</c:v>
                </c:pt>
                <c:pt idx="185">
                  <c:v>50.066806922618085</c:v>
                </c:pt>
                <c:pt idx="186">
                  <c:v>49.678597375500715</c:v>
                </c:pt>
                <c:pt idx="187">
                  <c:v>49.27541447654918</c:v>
                </c:pt>
                <c:pt idx="188">
                  <c:v>48.8584744952298</c:v>
                </c:pt>
                <c:pt idx="189">
                  <c:v>48.473679091749311</c:v>
                </c:pt>
                <c:pt idx="190">
                  <c:v>48.075330231376498</c:v>
                </c:pt>
                <c:pt idx="191">
                  <c:v>47.664530854111085</c:v>
                </c:pt>
                <c:pt idx="192">
                  <c:v>47.263221816930553</c:v>
                </c:pt>
                <c:pt idx="193">
                  <c:v>46.870974511108912</c:v>
                </c:pt>
                <c:pt idx="194">
                  <c:v>46.467432725107891</c:v>
                </c:pt>
                <c:pt idx="195">
                  <c:v>46.073052641253554</c:v>
                </c:pt>
                <c:pt idx="196">
                  <c:v>45.668369109622759</c:v>
                </c:pt>
                <c:pt idx="197">
                  <c:v>45.27289861032331</c:v>
                </c:pt>
                <c:pt idx="198">
                  <c:v>44.868031176126138</c:v>
                </c:pt>
                <c:pt idx="199">
                  <c:v>44.47238505805398</c:v>
                </c:pt>
                <c:pt idx="200">
                  <c:v>44.068169136213328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571-451C-ADE6-EECD4F5CD2D1}"/>
            </c:ext>
          </c:extLst>
        </c:ser>
        <c:ser>
          <c:idx val="2"/>
          <c:order val="3"/>
          <c:tx>
            <c:v>Leakage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Calculations!$B$11:$B$211</c:f>
              <c:numCache>
                <c:formatCode>0.0</c:formatCode>
                <c:ptCount val="201"/>
                <c:pt idx="0">
                  <c:v>10</c:v>
                </c:pt>
                <c:pt idx="1">
                  <c:v>10.199999999999999</c:v>
                </c:pt>
                <c:pt idx="2">
                  <c:v>10.5</c:v>
                </c:pt>
                <c:pt idx="3">
                  <c:v>10.7</c:v>
                </c:pt>
                <c:pt idx="4">
                  <c:v>11</c:v>
                </c:pt>
                <c:pt idx="5">
                  <c:v>11.2</c:v>
                </c:pt>
                <c:pt idx="6">
                  <c:v>11.5</c:v>
                </c:pt>
                <c:pt idx="7">
                  <c:v>11.7</c:v>
                </c:pt>
                <c:pt idx="8">
                  <c:v>12</c:v>
                </c:pt>
                <c:pt idx="9">
                  <c:v>12.3</c:v>
                </c:pt>
                <c:pt idx="10">
                  <c:v>12.6</c:v>
                </c:pt>
                <c:pt idx="11">
                  <c:v>12.9</c:v>
                </c:pt>
                <c:pt idx="12">
                  <c:v>13.2</c:v>
                </c:pt>
                <c:pt idx="13">
                  <c:v>13.5</c:v>
                </c:pt>
                <c:pt idx="14">
                  <c:v>13.8</c:v>
                </c:pt>
                <c:pt idx="15">
                  <c:v>14.1</c:v>
                </c:pt>
                <c:pt idx="16">
                  <c:v>14.5</c:v>
                </c:pt>
                <c:pt idx="17">
                  <c:v>14.8</c:v>
                </c:pt>
                <c:pt idx="18">
                  <c:v>15.1</c:v>
                </c:pt>
                <c:pt idx="19">
                  <c:v>15.5</c:v>
                </c:pt>
                <c:pt idx="20">
                  <c:v>15.8</c:v>
                </c:pt>
                <c:pt idx="21">
                  <c:v>16.2</c:v>
                </c:pt>
                <c:pt idx="22">
                  <c:v>16.600000000000001</c:v>
                </c:pt>
                <c:pt idx="23">
                  <c:v>17</c:v>
                </c:pt>
                <c:pt idx="24">
                  <c:v>17.399999999999999</c:v>
                </c:pt>
                <c:pt idx="25">
                  <c:v>17.8</c:v>
                </c:pt>
                <c:pt idx="26">
                  <c:v>18.2</c:v>
                </c:pt>
                <c:pt idx="27">
                  <c:v>18.600000000000001</c:v>
                </c:pt>
                <c:pt idx="28">
                  <c:v>19.100000000000001</c:v>
                </c:pt>
                <c:pt idx="29">
                  <c:v>19.5</c:v>
                </c:pt>
                <c:pt idx="30">
                  <c:v>20</c:v>
                </c:pt>
                <c:pt idx="31">
                  <c:v>20.399999999999999</c:v>
                </c:pt>
                <c:pt idx="32">
                  <c:v>20.9</c:v>
                </c:pt>
                <c:pt idx="33">
                  <c:v>21.4</c:v>
                </c:pt>
                <c:pt idx="34">
                  <c:v>21.9</c:v>
                </c:pt>
                <c:pt idx="35">
                  <c:v>22.4</c:v>
                </c:pt>
                <c:pt idx="36">
                  <c:v>22.9</c:v>
                </c:pt>
                <c:pt idx="37">
                  <c:v>23.4</c:v>
                </c:pt>
                <c:pt idx="38">
                  <c:v>24</c:v>
                </c:pt>
                <c:pt idx="39">
                  <c:v>24.5</c:v>
                </c:pt>
                <c:pt idx="40">
                  <c:v>25.1</c:v>
                </c:pt>
                <c:pt idx="41">
                  <c:v>25.7</c:v>
                </c:pt>
                <c:pt idx="42">
                  <c:v>26.3</c:v>
                </c:pt>
                <c:pt idx="43">
                  <c:v>26.9</c:v>
                </c:pt>
                <c:pt idx="44">
                  <c:v>27.5</c:v>
                </c:pt>
                <c:pt idx="45">
                  <c:v>28.2</c:v>
                </c:pt>
                <c:pt idx="46">
                  <c:v>28.8</c:v>
                </c:pt>
                <c:pt idx="47">
                  <c:v>29.5</c:v>
                </c:pt>
                <c:pt idx="48">
                  <c:v>30.2</c:v>
                </c:pt>
                <c:pt idx="49">
                  <c:v>30.9</c:v>
                </c:pt>
                <c:pt idx="50">
                  <c:v>31.6</c:v>
                </c:pt>
                <c:pt idx="51">
                  <c:v>32.4</c:v>
                </c:pt>
                <c:pt idx="52">
                  <c:v>33.1</c:v>
                </c:pt>
                <c:pt idx="53">
                  <c:v>33.9</c:v>
                </c:pt>
                <c:pt idx="54">
                  <c:v>34.700000000000003</c:v>
                </c:pt>
                <c:pt idx="55">
                  <c:v>35.5</c:v>
                </c:pt>
                <c:pt idx="56">
                  <c:v>36.299999999999997</c:v>
                </c:pt>
                <c:pt idx="57">
                  <c:v>37.200000000000003</c:v>
                </c:pt>
                <c:pt idx="58">
                  <c:v>38</c:v>
                </c:pt>
                <c:pt idx="59">
                  <c:v>38.9</c:v>
                </c:pt>
                <c:pt idx="60">
                  <c:v>39.799999999999997</c:v>
                </c:pt>
                <c:pt idx="61">
                  <c:v>40.700000000000003</c:v>
                </c:pt>
                <c:pt idx="62">
                  <c:v>41.7</c:v>
                </c:pt>
                <c:pt idx="63">
                  <c:v>42.7</c:v>
                </c:pt>
                <c:pt idx="64">
                  <c:v>43.7</c:v>
                </c:pt>
                <c:pt idx="65">
                  <c:v>44.7</c:v>
                </c:pt>
                <c:pt idx="66">
                  <c:v>45.7</c:v>
                </c:pt>
                <c:pt idx="67">
                  <c:v>46.8</c:v>
                </c:pt>
                <c:pt idx="68">
                  <c:v>47.9</c:v>
                </c:pt>
                <c:pt idx="69">
                  <c:v>49</c:v>
                </c:pt>
                <c:pt idx="70">
                  <c:v>50.1</c:v>
                </c:pt>
                <c:pt idx="71">
                  <c:v>51.3</c:v>
                </c:pt>
                <c:pt idx="72">
                  <c:v>52.5</c:v>
                </c:pt>
                <c:pt idx="73">
                  <c:v>53.7</c:v>
                </c:pt>
                <c:pt idx="74">
                  <c:v>55</c:v>
                </c:pt>
                <c:pt idx="75">
                  <c:v>56.2</c:v>
                </c:pt>
                <c:pt idx="76">
                  <c:v>57.5</c:v>
                </c:pt>
                <c:pt idx="77">
                  <c:v>58.9</c:v>
                </c:pt>
                <c:pt idx="78">
                  <c:v>60.3</c:v>
                </c:pt>
                <c:pt idx="79">
                  <c:v>61.7</c:v>
                </c:pt>
                <c:pt idx="80">
                  <c:v>63.1</c:v>
                </c:pt>
                <c:pt idx="81">
                  <c:v>64.599999999999994</c:v>
                </c:pt>
                <c:pt idx="82">
                  <c:v>66.099999999999994</c:v>
                </c:pt>
                <c:pt idx="83">
                  <c:v>67.599999999999994</c:v>
                </c:pt>
                <c:pt idx="84">
                  <c:v>69.2</c:v>
                </c:pt>
                <c:pt idx="85">
                  <c:v>70.8</c:v>
                </c:pt>
                <c:pt idx="86">
                  <c:v>72.400000000000006</c:v>
                </c:pt>
                <c:pt idx="87">
                  <c:v>74.099999999999994</c:v>
                </c:pt>
                <c:pt idx="88">
                  <c:v>75.900000000000006</c:v>
                </c:pt>
                <c:pt idx="89">
                  <c:v>77.599999999999994</c:v>
                </c:pt>
                <c:pt idx="90">
                  <c:v>79.400000000000006</c:v>
                </c:pt>
                <c:pt idx="91">
                  <c:v>81.3</c:v>
                </c:pt>
                <c:pt idx="92">
                  <c:v>83.2</c:v>
                </c:pt>
                <c:pt idx="93">
                  <c:v>85.1</c:v>
                </c:pt>
                <c:pt idx="94">
                  <c:v>87.1</c:v>
                </c:pt>
                <c:pt idx="95">
                  <c:v>89.1</c:v>
                </c:pt>
                <c:pt idx="96">
                  <c:v>91.2</c:v>
                </c:pt>
                <c:pt idx="97">
                  <c:v>93.3</c:v>
                </c:pt>
                <c:pt idx="98">
                  <c:v>95.5</c:v>
                </c:pt>
                <c:pt idx="99">
                  <c:v>97.7</c:v>
                </c:pt>
                <c:pt idx="100" formatCode="0">
                  <c:v>100</c:v>
                </c:pt>
                <c:pt idx="101" formatCode="0">
                  <c:v>102</c:v>
                </c:pt>
                <c:pt idx="102" formatCode="0">
                  <c:v>105</c:v>
                </c:pt>
                <c:pt idx="103" formatCode="0">
                  <c:v>107</c:v>
                </c:pt>
                <c:pt idx="104" formatCode="0">
                  <c:v>110</c:v>
                </c:pt>
                <c:pt idx="105" formatCode="0">
                  <c:v>112</c:v>
                </c:pt>
                <c:pt idx="106" formatCode="0">
                  <c:v>115</c:v>
                </c:pt>
                <c:pt idx="107" formatCode="0">
                  <c:v>117</c:v>
                </c:pt>
                <c:pt idx="108" formatCode="0">
                  <c:v>120</c:v>
                </c:pt>
                <c:pt idx="109" formatCode="0">
                  <c:v>123</c:v>
                </c:pt>
                <c:pt idx="110" formatCode="0">
                  <c:v>126</c:v>
                </c:pt>
                <c:pt idx="111" formatCode="0">
                  <c:v>129</c:v>
                </c:pt>
                <c:pt idx="112" formatCode="0">
                  <c:v>132</c:v>
                </c:pt>
                <c:pt idx="113" formatCode="0">
                  <c:v>135</c:v>
                </c:pt>
                <c:pt idx="114" formatCode="0">
                  <c:v>138</c:v>
                </c:pt>
                <c:pt idx="115" formatCode="0">
                  <c:v>141</c:v>
                </c:pt>
                <c:pt idx="116" formatCode="0">
                  <c:v>145</c:v>
                </c:pt>
                <c:pt idx="117" formatCode="0">
                  <c:v>148</c:v>
                </c:pt>
                <c:pt idx="118" formatCode="0">
                  <c:v>151</c:v>
                </c:pt>
                <c:pt idx="119" formatCode="0">
                  <c:v>155</c:v>
                </c:pt>
                <c:pt idx="120" formatCode="0">
                  <c:v>158</c:v>
                </c:pt>
                <c:pt idx="121" formatCode="0">
                  <c:v>162</c:v>
                </c:pt>
                <c:pt idx="122" formatCode="0">
                  <c:v>166</c:v>
                </c:pt>
                <c:pt idx="123" formatCode="0">
                  <c:v>170</c:v>
                </c:pt>
                <c:pt idx="124" formatCode="0">
                  <c:v>174</c:v>
                </c:pt>
                <c:pt idx="125" formatCode="0">
                  <c:v>178</c:v>
                </c:pt>
                <c:pt idx="126" formatCode="0">
                  <c:v>182</c:v>
                </c:pt>
                <c:pt idx="127" formatCode="0">
                  <c:v>186</c:v>
                </c:pt>
                <c:pt idx="128" formatCode="0">
                  <c:v>191</c:v>
                </c:pt>
                <c:pt idx="129" formatCode="0">
                  <c:v>195</c:v>
                </c:pt>
                <c:pt idx="130" formatCode="0">
                  <c:v>200</c:v>
                </c:pt>
                <c:pt idx="131" formatCode="0">
                  <c:v>204</c:v>
                </c:pt>
                <c:pt idx="132" formatCode="0">
                  <c:v>209</c:v>
                </c:pt>
                <c:pt idx="133" formatCode="0">
                  <c:v>214</c:v>
                </c:pt>
                <c:pt idx="134" formatCode="0">
                  <c:v>219</c:v>
                </c:pt>
                <c:pt idx="135" formatCode="0">
                  <c:v>224</c:v>
                </c:pt>
                <c:pt idx="136" formatCode="0">
                  <c:v>229</c:v>
                </c:pt>
                <c:pt idx="137" formatCode="0">
                  <c:v>234</c:v>
                </c:pt>
                <c:pt idx="138" formatCode="0">
                  <c:v>240</c:v>
                </c:pt>
                <c:pt idx="139" formatCode="0">
                  <c:v>245</c:v>
                </c:pt>
                <c:pt idx="140" formatCode="0">
                  <c:v>251</c:v>
                </c:pt>
                <c:pt idx="141" formatCode="0">
                  <c:v>257</c:v>
                </c:pt>
                <c:pt idx="142" formatCode="0">
                  <c:v>263</c:v>
                </c:pt>
                <c:pt idx="143" formatCode="0">
                  <c:v>269</c:v>
                </c:pt>
                <c:pt idx="144" formatCode="0">
                  <c:v>275</c:v>
                </c:pt>
                <c:pt idx="145" formatCode="0">
                  <c:v>282</c:v>
                </c:pt>
                <c:pt idx="146" formatCode="0">
                  <c:v>288</c:v>
                </c:pt>
                <c:pt idx="147" formatCode="0">
                  <c:v>295</c:v>
                </c:pt>
                <c:pt idx="148" formatCode="0">
                  <c:v>302</c:v>
                </c:pt>
                <c:pt idx="149" formatCode="0">
                  <c:v>309</c:v>
                </c:pt>
                <c:pt idx="150" formatCode="0">
                  <c:v>316</c:v>
                </c:pt>
                <c:pt idx="151" formatCode="0">
                  <c:v>324</c:v>
                </c:pt>
                <c:pt idx="152" formatCode="0">
                  <c:v>331</c:v>
                </c:pt>
                <c:pt idx="153" formatCode="0">
                  <c:v>339</c:v>
                </c:pt>
                <c:pt idx="154" formatCode="0">
                  <c:v>347</c:v>
                </c:pt>
                <c:pt idx="155" formatCode="0">
                  <c:v>355</c:v>
                </c:pt>
                <c:pt idx="156" formatCode="0">
                  <c:v>363</c:v>
                </c:pt>
                <c:pt idx="157" formatCode="0">
                  <c:v>372</c:v>
                </c:pt>
                <c:pt idx="158" formatCode="0">
                  <c:v>380</c:v>
                </c:pt>
                <c:pt idx="159" formatCode="0">
                  <c:v>389</c:v>
                </c:pt>
                <c:pt idx="160" formatCode="0">
                  <c:v>398</c:v>
                </c:pt>
                <c:pt idx="161" formatCode="0">
                  <c:v>407</c:v>
                </c:pt>
                <c:pt idx="162" formatCode="0">
                  <c:v>417</c:v>
                </c:pt>
                <c:pt idx="163" formatCode="0">
                  <c:v>427</c:v>
                </c:pt>
                <c:pt idx="164" formatCode="0">
                  <c:v>437</c:v>
                </c:pt>
                <c:pt idx="165" formatCode="0">
                  <c:v>447</c:v>
                </c:pt>
                <c:pt idx="166" formatCode="0">
                  <c:v>457</c:v>
                </c:pt>
                <c:pt idx="167" formatCode="0">
                  <c:v>468</c:v>
                </c:pt>
                <c:pt idx="168" formatCode="0">
                  <c:v>479</c:v>
                </c:pt>
                <c:pt idx="169" formatCode="0">
                  <c:v>490</c:v>
                </c:pt>
                <c:pt idx="170" formatCode="0">
                  <c:v>501</c:v>
                </c:pt>
                <c:pt idx="171" formatCode="0">
                  <c:v>513</c:v>
                </c:pt>
                <c:pt idx="172" formatCode="0">
                  <c:v>525</c:v>
                </c:pt>
                <c:pt idx="173" formatCode="0">
                  <c:v>537</c:v>
                </c:pt>
                <c:pt idx="174" formatCode="0">
                  <c:v>550</c:v>
                </c:pt>
                <c:pt idx="175" formatCode="0">
                  <c:v>562</c:v>
                </c:pt>
                <c:pt idx="176" formatCode="0">
                  <c:v>575</c:v>
                </c:pt>
                <c:pt idx="177" formatCode="0">
                  <c:v>589</c:v>
                </c:pt>
                <c:pt idx="178" formatCode="0">
                  <c:v>603</c:v>
                </c:pt>
                <c:pt idx="179" formatCode="0">
                  <c:v>617</c:v>
                </c:pt>
                <c:pt idx="180" formatCode="0">
                  <c:v>631</c:v>
                </c:pt>
                <c:pt idx="181" formatCode="0">
                  <c:v>646</c:v>
                </c:pt>
                <c:pt idx="182" formatCode="0">
                  <c:v>661</c:v>
                </c:pt>
                <c:pt idx="183" formatCode="0">
                  <c:v>676</c:v>
                </c:pt>
                <c:pt idx="184" formatCode="0">
                  <c:v>692</c:v>
                </c:pt>
                <c:pt idx="185" formatCode="0">
                  <c:v>708</c:v>
                </c:pt>
                <c:pt idx="186" formatCode="0">
                  <c:v>724</c:v>
                </c:pt>
                <c:pt idx="187" formatCode="0">
                  <c:v>741</c:v>
                </c:pt>
                <c:pt idx="188" formatCode="0">
                  <c:v>759</c:v>
                </c:pt>
                <c:pt idx="189" formatCode="0">
                  <c:v>776</c:v>
                </c:pt>
                <c:pt idx="190" formatCode="0">
                  <c:v>794</c:v>
                </c:pt>
                <c:pt idx="191" formatCode="0">
                  <c:v>813</c:v>
                </c:pt>
                <c:pt idx="192" formatCode="0">
                  <c:v>832</c:v>
                </c:pt>
                <c:pt idx="193" formatCode="0">
                  <c:v>851</c:v>
                </c:pt>
                <c:pt idx="194" formatCode="0">
                  <c:v>871</c:v>
                </c:pt>
                <c:pt idx="195" formatCode="0">
                  <c:v>891</c:v>
                </c:pt>
                <c:pt idx="196" formatCode="0">
                  <c:v>912</c:v>
                </c:pt>
                <c:pt idx="197" formatCode="0">
                  <c:v>933</c:v>
                </c:pt>
                <c:pt idx="198" formatCode="0">
                  <c:v>955</c:v>
                </c:pt>
                <c:pt idx="199" formatCode="0">
                  <c:v>977</c:v>
                </c:pt>
                <c:pt idx="200" formatCode="0">
                  <c:v>1000</c:v>
                </c:pt>
              </c:numCache>
            </c:numRef>
          </c:xVal>
          <c:yVal>
            <c:numRef>
              <c:f>Calculations!$W$11:$W$211</c:f>
              <c:numCache>
                <c:formatCode>0.00</c:formatCode>
                <c:ptCount val="201"/>
                <c:pt idx="0">
                  <c:v>59.441619694750713</c:v>
                </c:pt>
                <c:pt idx="1">
                  <c:v>59.957573398550252</c:v>
                </c:pt>
                <c:pt idx="2">
                  <c:v>60.712809216632031</c:v>
                </c:pt>
                <c:pt idx="3">
                  <c:v>61.204382464533644</c:v>
                </c:pt>
                <c:pt idx="4">
                  <c:v>61.924736551925967</c:v>
                </c:pt>
                <c:pt idx="5">
                  <c:v>62.394107993680457</c:v>
                </c:pt>
                <c:pt idx="6">
                  <c:v>63.082623672479549</c:v>
                </c:pt>
                <c:pt idx="7">
                  <c:v>63.531684474072001</c:v>
                </c:pt>
                <c:pt idx="8">
                  <c:v>64.191010307988336</c:v>
                </c:pt>
                <c:pt idx="9">
                  <c:v>64.833952822743996</c:v>
                </c:pt>
                <c:pt idx="10">
                  <c:v>65.461281602269594</c:v>
                </c:pt>
                <c:pt idx="11">
                  <c:v>66.073708741145069</c:v>
                </c:pt>
                <c:pt idx="12">
                  <c:v>66.671893740803313</c:v>
                </c:pt>
                <c:pt idx="13">
                  <c:v>67.256447819238232</c:v>
                </c:pt>
                <c:pt idx="14">
                  <c:v>67.827937709632607</c:v>
                </c:pt>
                <c:pt idx="15">
                  <c:v>68.386889012017861</c:v>
                </c:pt>
                <c:pt idx="16">
                  <c:v>69.113490242707272</c:v>
                </c:pt>
                <c:pt idx="17">
                  <c:v>69.645019264212095</c:v>
                </c:pt>
                <c:pt idx="18">
                  <c:v>70.165500118992483</c:v>
                </c:pt>
                <c:pt idx="19">
                  <c:v>70.842936694735926</c:v>
                </c:pt>
                <c:pt idx="20">
                  <c:v>71.339056579533192</c:v>
                </c:pt>
                <c:pt idx="21">
                  <c:v>71.985200507922769</c:v>
                </c:pt>
                <c:pt idx="22">
                  <c:v>72.614412409561083</c:v>
                </c:pt>
                <c:pt idx="23">
                  <c:v>73.227286523377856</c:v>
                </c:pt>
                <c:pt idx="24">
                  <c:v>73.824344920332834</c:v>
                </c:pt>
                <c:pt idx="25">
                  <c:v>74.406040902109538</c:v>
                </c:pt>
                <c:pt idx="26">
                  <c:v>74.972761922010022</c:v>
                </c:pt>
                <c:pt idx="27">
                  <c:v>75.524832139785815</c:v>
                </c:pt>
                <c:pt idx="28">
                  <c:v>76.194712503216579</c:v>
                </c:pt>
                <c:pt idx="29">
                  <c:v>76.714691166569708</c:v>
                </c:pt>
                <c:pt idx="30">
                  <c:v>77.344977035306158</c:v>
                </c:pt>
                <c:pt idx="31">
                  <c:v>77.833545055425262</c:v>
                </c:pt>
                <c:pt idx="32">
                  <c:v>78.424705355523329</c:v>
                </c:pt>
                <c:pt idx="33">
                  <c:v>78.994069658679791</c:v>
                </c:pt>
                <c:pt idx="34">
                  <c:v>79.541457820421911</c:v>
                </c:pt>
                <c:pt idx="35">
                  <c:v>80.06659597955354</c:v>
                </c:pt>
                <c:pt idx="36">
                  <c:v>80.569132050585608</c:v>
                </c:pt>
                <c:pt idx="37">
                  <c:v>81.048654171926486</c:v>
                </c:pt>
                <c:pt idx="38">
                  <c:v>81.593067179885566</c:v>
                </c:pt>
                <c:pt idx="39">
                  <c:v>82.020356111234705</c:v>
                </c:pt>
                <c:pt idx="40">
                  <c:v>82.500771070464097</c:v>
                </c:pt>
                <c:pt idx="41">
                  <c:v>82.945280499924763</c:v>
                </c:pt>
                <c:pt idx="42">
                  <c:v>83.353374441151885</c:v>
                </c:pt>
                <c:pt idx="43">
                  <c:v>83.724775035009628</c:v>
                </c:pt>
                <c:pt idx="44">
                  <c:v>84.059491788897574</c:v>
                </c:pt>
                <c:pt idx="45">
                  <c:v>84.404099024460578</c:v>
                </c:pt>
                <c:pt idx="46">
                  <c:v>84.66095423022422</c:v>
                </c:pt>
                <c:pt idx="47">
                  <c:v>84.91720457605453</c:v>
                </c:pt>
                <c:pt idx="48">
                  <c:v>85.128889672732043</c:v>
                </c:pt>
                <c:pt idx="49">
                  <c:v>85.298788351462747</c:v>
                </c:pt>
                <c:pt idx="50">
                  <c:v>85.430059044650505</c:v>
                </c:pt>
                <c:pt idx="51">
                  <c:v>85.537152969462142</c:v>
                </c:pt>
                <c:pt idx="52">
                  <c:v>85.597238038305093</c:v>
                </c:pt>
                <c:pt idx="53">
                  <c:v>85.632154654359539</c:v>
                </c:pt>
                <c:pt idx="54">
                  <c:v>85.635849165366423</c:v>
                </c:pt>
                <c:pt idx="55">
                  <c:v>85.612969187777495</c:v>
                </c:pt>
                <c:pt idx="56">
                  <c:v>85.567731100478056</c:v>
                </c:pt>
                <c:pt idx="57">
                  <c:v>85.494760703525031</c:v>
                </c:pt>
                <c:pt idx="58">
                  <c:v>85.413866665611579</c:v>
                </c:pt>
                <c:pt idx="59">
                  <c:v>85.308412877364617</c:v>
                </c:pt>
                <c:pt idx="60">
                  <c:v>85.190847117563408</c:v>
                </c:pt>
                <c:pt idx="61">
                  <c:v>85.063916765816401</c:v>
                </c:pt>
                <c:pt idx="62">
                  <c:v>84.914621825655388</c:v>
                </c:pt>
                <c:pt idx="63">
                  <c:v>84.759017522259256</c:v>
                </c:pt>
                <c:pt idx="64">
                  <c:v>84.59906583914713</c:v>
                </c:pt>
                <c:pt idx="65">
                  <c:v>84.436307793045003</c:v>
                </c:pt>
                <c:pt idx="66">
                  <c:v>84.271947943516523</c:v>
                </c:pt>
                <c:pt idx="67">
                  <c:v>84.090414043269718</c:v>
                </c:pt>
                <c:pt idx="68">
                  <c:v>83.909026569721377</c:v>
                </c:pt>
                <c:pt idx="69">
                  <c:v>83.728501398846419</c:v>
                </c:pt>
                <c:pt idx="70">
                  <c:v>83.54937048660581</c:v>
                </c:pt>
                <c:pt idx="71">
                  <c:v>83.356001144744369</c:v>
                </c:pt>
                <c:pt idx="72">
                  <c:v>83.165115689420901</c:v>
                </c:pt>
                <c:pt idx="73">
                  <c:v>82.976960616158081</c:v>
                </c:pt>
                <c:pt idx="74">
                  <c:v>82.776391481109428</c:v>
                </c:pt>
                <c:pt idx="75">
                  <c:v>82.594365635962447</c:v>
                </c:pt>
                <c:pt idx="76">
                  <c:v>82.400599040291041</c:v>
                </c:pt>
                <c:pt idx="77">
                  <c:v>82.195925804780344</c:v>
                </c:pt>
                <c:pt idx="78">
                  <c:v>81.995369787271557</c:v>
                </c:pt>
                <c:pt idx="79">
                  <c:v>81.798869738806957</c:v>
                </c:pt>
                <c:pt idx="80">
                  <c:v>81.606342798950323</c:v>
                </c:pt>
                <c:pt idx="81">
                  <c:v>81.404362453086407</c:v>
                </c:pt>
                <c:pt idx="82">
                  <c:v>81.206701259664953</c:v>
                </c:pt>
                <c:pt idx="83">
                  <c:v>81.013222709992604</c:v>
                </c:pt>
                <c:pt idx="84">
                  <c:v>80.811299291028561</c:v>
                </c:pt>
                <c:pt idx="85">
                  <c:v>80.613808574902933</c:v>
                </c:pt>
                <c:pt idx="86">
                  <c:v>80.42058514167762</c:v>
                </c:pt>
                <c:pt idx="87">
                  <c:v>80.219780877164908</c:v>
                </c:pt>
                <c:pt idx="88">
                  <c:v>80.012010142630629</c:v>
                </c:pt>
                <c:pt idx="89">
                  <c:v>79.820171100908624</c:v>
                </c:pt>
                <c:pt idx="90">
                  <c:v>79.621501477405275</c:v>
                </c:pt>
                <c:pt idx="91">
                  <c:v>79.416556464481857</c:v>
                </c:pt>
                <c:pt idx="92">
                  <c:v>79.216291786089442</c:v>
                </c:pt>
                <c:pt idx="93">
                  <c:v>79.020505411067546</c:v>
                </c:pt>
                <c:pt idx="94">
                  <c:v>78.819043294376741</c:v>
                </c:pt>
                <c:pt idx="95">
                  <c:v>78.622123201444779</c:v>
                </c:pt>
                <c:pt idx="96">
                  <c:v>78.42003061360144</c:v>
                </c:pt>
                <c:pt idx="97">
                  <c:v>78.222515589342365</c:v>
                </c:pt>
                <c:pt idx="98">
                  <c:v>78.020286894067425</c:v>
                </c:pt>
                <c:pt idx="99">
                  <c:v>77.822646967370247</c:v>
                </c:pt>
                <c:pt idx="100">
                  <c:v>77.620710895683359</c:v>
                </c:pt>
                <c:pt idx="101">
                  <c:v>77.448843767608182</c:v>
                </c:pt>
                <c:pt idx="102">
                  <c:v>77.197245410503442</c:v>
                </c:pt>
                <c:pt idx="103">
                  <c:v>77.033467088827507</c:v>
                </c:pt>
                <c:pt idx="104">
                  <c:v>76.793441201085784</c:v>
                </c:pt>
                <c:pt idx="105">
                  <c:v>76.637027482432927</c:v>
                </c:pt>
                <c:pt idx="106">
                  <c:v>76.407559730135887</c:v>
                </c:pt>
                <c:pt idx="107">
                  <c:v>76.257878585807447</c:v>
                </c:pt>
                <c:pt idx="108">
                  <c:v>76.038081353680937</c:v>
                </c:pt>
                <c:pt idx="109">
                  <c:v>75.823705523597127</c:v>
                </c:pt>
                <c:pt idx="110">
                  <c:v>75.614490465196525</c:v>
                </c:pt>
                <c:pt idx="111">
                  <c:v>75.410193834483763</c:v>
                </c:pt>
                <c:pt idx="112">
                  <c:v>75.210589916163102</c:v>
                </c:pt>
                <c:pt idx="113">
                  <c:v>75.015468146485063</c:v>
                </c:pt>
                <c:pt idx="114">
                  <c:v>74.824631794304977</c:v>
                </c:pt>
                <c:pt idx="115">
                  <c:v>74.637896780970493</c:v>
                </c:pt>
                <c:pt idx="116">
                  <c:v>74.395000052685447</c:v>
                </c:pt>
                <c:pt idx="117">
                  <c:v>74.217182329785388</c:v>
                </c:pt>
                <c:pt idx="118">
                  <c:v>74.042930924095515</c:v>
                </c:pt>
                <c:pt idx="119">
                  <c:v>73.815902197413294</c:v>
                </c:pt>
                <c:pt idx="120">
                  <c:v>73.649440930372606</c:v>
                </c:pt>
                <c:pt idx="121">
                  <c:v>73.432340503666694</c:v>
                </c:pt>
                <c:pt idx="122">
                  <c:v>73.220533110671127</c:v>
                </c:pt>
                <c:pt idx="123">
                  <c:v>73.013766851358042</c:v>
                </c:pt>
                <c:pt idx="124">
                  <c:v>72.81180738398001</c:v>
                </c:pt>
                <c:pt idx="125">
                  <c:v>72.614436331395154</c:v>
                </c:pt>
                <c:pt idx="126">
                  <c:v>72.421449863940268</c:v>
                </c:pt>
                <c:pt idx="127">
                  <c:v>72.232657435963745</c:v>
                </c:pt>
                <c:pt idx="128">
                  <c:v>72.002294075840666</c:v>
                </c:pt>
                <c:pt idx="129">
                  <c:v>71.82230288210701</c:v>
                </c:pt>
                <c:pt idx="130">
                  <c:v>71.60243458566535</c:v>
                </c:pt>
                <c:pt idx="131">
                  <c:v>71.430460663171132</c:v>
                </c:pt>
                <c:pt idx="132">
                  <c:v>71.220172896132667</c:v>
                </c:pt>
                <c:pt idx="133">
                  <c:v>71.01485543246207</c:v>
                </c:pt>
                <c:pt idx="134">
                  <c:v>70.814278761914238</c:v>
                </c:pt>
                <c:pt idx="135">
                  <c:v>70.618228911245907</c:v>
                </c:pt>
                <c:pt idx="136">
                  <c:v>70.426506072894895</c:v>
                </c:pt>
                <c:pt idx="137">
                  <c:v>70.238923381668158</c:v>
                </c:pt>
                <c:pt idx="138">
                  <c:v>70.019043497913586</c:v>
                </c:pt>
                <c:pt idx="139">
                  <c:v>69.839968309143416</c:v>
                </c:pt>
                <c:pt idx="140">
                  <c:v>69.629839915490152</c:v>
                </c:pt>
                <c:pt idx="141">
                  <c:v>69.424674581359881</c:v>
                </c:pt>
                <c:pt idx="142">
                  <c:v>69.224243279786918</c:v>
                </c:pt>
                <c:pt idx="143">
                  <c:v>69.028332478875058</c:v>
                </c:pt>
                <c:pt idx="144">
                  <c:v>68.836742774885039</c:v>
                </c:pt>
                <c:pt idx="145">
                  <c:v>68.618434702302906</c:v>
                </c:pt>
                <c:pt idx="146">
                  <c:v>68.435583304640801</c:v>
                </c:pt>
                <c:pt idx="147">
                  <c:v>68.227010418335865</c:v>
                </c:pt>
                <c:pt idx="148">
                  <c:v>68.023328363469574</c:v>
                </c:pt>
                <c:pt idx="149">
                  <c:v>67.824313030135087</c:v>
                </c:pt>
                <c:pt idx="150">
                  <c:v>67.629755367054656</c:v>
                </c:pt>
                <c:pt idx="151">
                  <c:v>67.412612161628559</c:v>
                </c:pt>
                <c:pt idx="152">
                  <c:v>67.226965029203143</c:v>
                </c:pt>
                <c:pt idx="153">
                  <c:v>67.019544344041705</c:v>
                </c:pt>
                <c:pt idx="154">
                  <c:v>66.816961311934492</c:v>
                </c:pt>
                <c:pt idx="155">
                  <c:v>66.618995421776717</c:v>
                </c:pt>
                <c:pt idx="156">
                  <c:v>66.425440903509823</c:v>
                </c:pt>
                <c:pt idx="157">
                  <c:v>66.212726070727271</c:v>
                </c:pt>
                <c:pt idx="158">
                  <c:v>66.027922457854785</c:v>
                </c:pt>
                <c:pt idx="159">
                  <c:v>65.824612389008735</c:v>
                </c:pt>
                <c:pt idx="160">
                  <c:v>65.625952334059818</c:v>
                </c:pt>
                <c:pt idx="161">
                  <c:v>65.431734343174298</c:v>
                </c:pt>
                <c:pt idx="162">
                  <c:v>65.220910502211879</c:v>
                </c:pt>
                <c:pt idx="163">
                  <c:v>65.015082550942921</c:v>
                </c:pt>
                <c:pt idx="164">
                  <c:v>64.814019193397286</c:v>
                </c:pt>
                <c:pt idx="165">
                  <c:v>64.617504832891555</c:v>
                </c:pt>
                <c:pt idx="166">
                  <c:v>64.425338182660539</c:v>
                </c:pt>
                <c:pt idx="167">
                  <c:v>64.218752199623083</c:v>
                </c:pt>
                <c:pt idx="168">
                  <c:v>64.016965591433191</c:v>
                </c:pt>
                <c:pt idx="169">
                  <c:v>63.819760421447704</c:v>
                </c:pt>
                <c:pt idx="170">
                  <c:v>63.626933268215851</c:v>
                </c:pt>
                <c:pt idx="171">
                  <c:v>63.421346355465346</c:v>
                </c:pt>
                <c:pt idx="172">
                  <c:v>63.220513066099606</c:v>
                </c:pt>
                <c:pt idx="173">
                  <c:v>63.02421853583111</c:v>
                </c:pt>
                <c:pt idx="174">
                  <c:v>62.816455630417536</c:v>
                </c:pt>
                <c:pt idx="175">
                  <c:v>62.62898756838301</c:v>
                </c:pt>
                <c:pt idx="176">
                  <c:v>62.430361507047309</c:v>
                </c:pt>
                <c:pt idx="177">
                  <c:v>62.221417044656349</c:v>
                </c:pt>
                <c:pt idx="178">
                  <c:v>62.017380926092798</c:v>
                </c:pt>
                <c:pt idx="179">
                  <c:v>61.818027833418761</c:v>
                </c:pt>
                <c:pt idx="180">
                  <c:v>61.623147615808421</c:v>
                </c:pt>
                <c:pt idx="181">
                  <c:v>61.419088128832449</c:v>
                </c:pt>
                <c:pt idx="182">
                  <c:v>61.219712739799668</c:v>
                </c:pt>
                <c:pt idx="183">
                  <c:v>61.02481122579097</c:v>
                </c:pt>
                <c:pt idx="184">
                  <c:v>60.821626457909311</c:v>
                </c:pt>
                <c:pt idx="185">
                  <c:v>60.62308618173595</c:v>
                </c:pt>
                <c:pt idx="186">
                  <c:v>60.428982804765646</c:v>
                </c:pt>
                <c:pt idx="187">
                  <c:v>60.227392741457422</c:v>
                </c:pt>
                <c:pt idx="188">
                  <c:v>60.018924118461413</c:v>
                </c:pt>
                <c:pt idx="189">
                  <c:v>59.826527622233961</c:v>
                </c:pt>
                <c:pt idx="190">
                  <c:v>59.627354385239684</c:v>
                </c:pt>
                <c:pt idx="191">
                  <c:v>59.421955871314168</c:v>
                </c:pt>
                <c:pt idx="192">
                  <c:v>59.22130244806651</c:v>
                </c:pt>
                <c:pt idx="193">
                  <c:v>59.025179818121707</c:v>
                </c:pt>
                <c:pt idx="194">
                  <c:v>58.823409930582557</c:v>
                </c:pt>
                <c:pt idx="195">
                  <c:v>58.626220827312707</c:v>
                </c:pt>
                <c:pt idx="196">
                  <c:v>58.4238799815124</c:v>
                </c:pt>
                <c:pt idx="197">
                  <c:v>58.226145590574951</c:v>
                </c:pt>
                <c:pt idx="198">
                  <c:v>58.023712713122684</c:v>
                </c:pt>
                <c:pt idx="199">
                  <c:v>57.825890437751255</c:v>
                </c:pt>
                <c:pt idx="200">
                  <c:v>57.623783241534589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571-451C-ADE6-EECD4F5CD2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26208"/>
        <c:axId val="1924051936"/>
      </c:scatterChart>
      <c:valAx>
        <c:axId val="9226208"/>
        <c:scaling>
          <c:logBase val="10"/>
          <c:orientation val="minMax"/>
          <c:max val="1000"/>
          <c:min val="10"/>
        </c:scaling>
        <c:delete val="0"/>
        <c:axPos val="b"/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 [Hz]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4051936"/>
        <c:crosses val="autoZero"/>
        <c:crossBetween val="midCat"/>
      </c:valAx>
      <c:valAx>
        <c:axId val="1924051936"/>
        <c:scaling>
          <c:orientation val="minMax"/>
          <c:max val="110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Response  [dB]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6208"/>
        <c:crosses val="autoZero"/>
        <c:crossBetween val="midCat"/>
        <c:majorUnit val="3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1" l="1" r="1" t="1" header="0" footer="0"/>
    <c:pageSetup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Displacement and Velocity vs Frequency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88538932633424E-2"/>
          <c:y val="7.9252136752136756E-2"/>
          <c:w val="0.80868292505103534"/>
          <c:h val="0.82586900195167912"/>
        </c:manualLayout>
      </c:layout>
      <c:scatterChart>
        <c:scatterStyle val="smoothMarker"/>
        <c:varyColors val="0"/>
        <c:ser>
          <c:idx val="0"/>
          <c:order val="0"/>
          <c:tx>
            <c:v>Driver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Calculations!$B$11:$B$211</c:f>
              <c:numCache>
                <c:formatCode>0.0</c:formatCode>
                <c:ptCount val="201"/>
                <c:pt idx="0">
                  <c:v>10</c:v>
                </c:pt>
                <c:pt idx="1">
                  <c:v>10.199999999999999</c:v>
                </c:pt>
                <c:pt idx="2">
                  <c:v>10.5</c:v>
                </c:pt>
                <c:pt idx="3">
                  <c:v>10.7</c:v>
                </c:pt>
                <c:pt idx="4">
                  <c:v>11</c:v>
                </c:pt>
                <c:pt idx="5">
                  <c:v>11.2</c:v>
                </c:pt>
                <c:pt idx="6">
                  <c:v>11.5</c:v>
                </c:pt>
                <c:pt idx="7">
                  <c:v>11.7</c:v>
                </c:pt>
                <c:pt idx="8">
                  <c:v>12</c:v>
                </c:pt>
                <c:pt idx="9">
                  <c:v>12.3</c:v>
                </c:pt>
                <c:pt idx="10">
                  <c:v>12.6</c:v>
                </c:pt>
                <c:pt idx="11">
                  <c:v>12.9</c:v>
                </c:pt>
                <c:pt idx="12">
                  <c:v>13.2</c:v>
                </c:pt>
                <c:pt idx="13">
                  <c:v>13.5</c:v>
                </c:pt>
                <c:pt idx="14">
                  <c:v>13.8</c:v>
                </c:pt>
                <c:pt idx="15">
                  <c:v>14.1</c:v>
                </c:pt>
                <c:pt idx="16">
                  <c:v>14.5</c:v>
                </c:pt>
                <c:pt idx="17">
                  <c:v>14.8</c:v>
                </c:pt>
                <c:pt idx="18">
                  <c:v>15.1</c:v>
                </c:pt>
                <c:pt idx="19">
                  <c:v>15.5</c:v>
                </c:pt>
                <c:pt idx="20">
                  <c:v>15.8</c:v>
                </c:pt>
                <c:pt idx="21">
                  <c:v>16.2</c:v>
                </c:pt>
                <c:pt idx="22">
                  <c:v>16.600000000000001</c:v>
                </c:pt>
                <c:pt idx="23">
                  <c:v>17</c:v>
                </c:pt>
                <c:pt idx="24">
                  <c:v>17.399999999999999</c:v>
                </c:pt>
                <c:pt idx="25">
                  <c:v>17.8</c:v>
                </c:pt>
                <c:pt idx="26">
                  <c:v>18.2</c:v>
                </c:pt>
                <c:pt idx="27">
                  <c:v>18.600000000000001</c:v>
                </c:pt>
                <c:pt idx="28">
                  <c:v>19.100000000000001</c:v>
                </c:pt>
                <c:pt idx="29">
                  <c:v>19.5</c:v>
                </c:pt>
                <c:pt idx="30">
                  <c:v>20</c:v>
                </c:pt>
                <c:pt idx="31">
                  <c:v>20.399999999999999</c:v>
                </c:pt>
                <c:pt idx="32">
                  <c:v>20.9</c:v>
                </c:pt>
                <c:pt idx="33">
                  <c:v>21.4</c:v>
                </c:pt>
                <c:pt idx="34">
                  <c:v>21.9</c:v>
                </c:pt>
                <c:pt idx="35">
                  <c:v>22.4</c:v>
                </c:pt>
                <c:pt idx="36">
                  <c:v>22.9</c:v>
                </c:pt>
                <c:pt idx="37">
                  <c:v>23.4</c:v>
                </c:pt>
                <c:pt idx="38">
                  <c:v>24</c:v>
                </c:pt>
                <c:pt idx="39">
                  <c:v>24.5</c:v>
                </c:pt>
                <c:pt idx="40">
                  <c:v>25.1</c:v>
                </c:pt>
                <c:pt idx="41">
                  <c:v>25.7</c:v>
                </c:pt>
                <c:pt idx="42">
                  <c:v>26.3</c:v>
                </c:pt>
                <c:pt idx="43">
                  <c:v>26.9</c:v>
                </c:pt>
                <c:pt idx="44">
                  <c:v>27.5</c:v>
                </c:pt>
                <c:pt idx="45">
                  <c:v>28.2</c:v>
                </c:pt>
                <c:pt idx="46">
                  <c:v>28.8</c:v>
                </c:pt>
                <c:pt idx="47">
                  <c:v>29.5</c:v>
                </c:pt>
                <c:pt idx="48">
                  <c:v>30.2</c:v>
                </c:pt>
                <c:pt idx="49">
                  <c:v>30.9</c:v>
                </c:pt>
                <c:pt idx="50">
                  <c:v>31.6</c:v>
                </c:pt>
                <c:pt idx="51">
                  <c:v>32.4</c:v>
                </c:pt>
                <c:pt idx="52">
                  <c:v>33.1</c:v>
                </c:pt>
                <c:pt idx="53">
                  <c:v>33.9</c:v>
                </c:pt>
                <c:pt idx="54">
                  <c:v>34.700000000000003</c:v>
                </c:pt>
                <c:pt idx="55">
                  <c:v>35.5</c:v>
                </c:pt>
                <c:pt idx="56">
                  <c:v>36.299999999999997</c:v>
                </c:pt>
                <c:pt idx="57">
                  <c:v>37.200000000000003</c:v>
                </c:pt>
                <c:pt idx="58">
                  <c:v>38</c:v>
                </c:pt>
                <c:pt idx="59">
                  <c:v>38.9</c:v>
                </c:pt>
                <c:pt idx="60">
                  <c:v>39.799999999999997</c:v>
                </c:pt>
                <c:pt idx="61">
                  <c:v>40.700000000000003</c:v>
                </c:pt>
                <c:pt idx="62">
                  <c:v>41.7</c:v>
                </c:pt>
                <c:pt idx="63">
                  <c:v>42.7</c:v>
                </c:pt>
                <c:pt idx="64">
                  <c:v>43.7</c:v>
                </c:pt>
                <c:pt idx="65">
                  <c:v>44.7</c:v>
                </c:pt>
                <c:pt idx="66">
                  <c:v>45.7</c:v>
                </c:pt>
                <c:pt idx="67">
                  <c:v>46.8</c:v>
                </c:pt>
                <c:pt idx="68">
                  <c:v>47.9</c:v>
                </c:pt>
                <c:pt idx="69">
                  <c:v>49</c:v>
                </c:pt>
                <c:pt idx="70">
                  <c:v>50.1</c:v>
                </c:pt>
                <c:pt idx="71">
                  <c:v>51.3</c:v>
                </c:pt>
                <c:pt idx="72">
                  <c:v>52.5</c:v>
                </c:pt>
                <c:pt idx="73">
                  <c:v>53.7</c:v>
                </c:pt>
                <c:pt idx="74">
                  <c:v>55</c:v>
                </c:pt>
                <c:pt idx="75">
                  <c:v>56.2</c:v>
                </c:pt>
                <c:pt idx="76">
                  <c:v>57.5</c:v>
                </c:pt>
                <c:pt idx="77">
                  <c:v>58.9</c:v>
                </c:pt>
                <c:pt idx="78">
                  <c:v>60.3</c:v>
                </c:pt>
                <c:pt idx="79">
                  <c:v>61.7</c:v>
                </c:pt>
                <c:pt idx="80">
                  <c:v>63.1</c:v>
                </c:pt>
                <c:pt idx="81">
                  <c:v>64.599999999999994</c:v>
                </c:pt>
                <c:pt idx="82">
                  <c:v>66.099999999999994</c:v>
                </c:pt>
                <c:pt idx="83">
                  <c:v>67.599999999999994</c:v>
                </c:pt>
                <c:pt idx="84">
                  <c:v>69.2</c:v>
                </c:pt>
                <c:pt idx="85">
                  <c:v>70.8</c:v>
                </c:pt>
                <c:pt idx="86">
                  <c:v>72.400000000000006</c:v>
                </c:pt>
                <c:pt idx="87">
                  <c:v>74.099999999999994</c:v>
                </c:pt>
                <c:pt idx="88">
                  <c:v>75.900000000000006</c:v>
                </c:pt>
                <c:pt idx="89">
                  <c:v>77.599999999999994</c:v>
                </c:pt>
                <c:pt idx="90">
                  <c:v>79.400000000000006</c:v>
                </c:pt>
                <c:pt idx="91">
                  <c:v>81.3</c:v>
                </c:pt>
                <c:pt idx="92">
                  <c:v>83.2</c:v>
                </c:pt>
                <c:pt idx="93">
                  <c:v>85.1</c:v>
                </c:pt>
                <c:pt idx="94">
                  <c:v>87.1</c:v>
                </c:pt>
                <c:pt idx="95">
                  <c:v>89.1</c:v>
                </c:pt>
                <c:pt idx="96">
                  <c:v>91.2</c:v>
                </c:pt>
                <c:pt idx="97">
                  <c:v>93.3</c:v>
                </c:pt>
                <c:pt idx="98">
                  <c:v>95.5</c:v>
                </c:pt>
                <c:pt idx="99">
                  <c:v>97.7</c:v>
                </c:pt>
                <c:pt idx="100" formatCode="0">
                  <c:v>100</c:v>
                </c:pt>
                <c:pt idx="101" formatCode="0">
                  <c:v>102</c:v>
                </c:pt>
                <c:pt idx="102" formatCode="0">
                  <c:v>105</c:v>
                </c:pt>
                <c:pt idx="103" formatCode="0">
                  <c:v>107</c:v>
                </c:pt>
                <c:pt idx="104" formatCode="0">
                  <c:v>110</c:v>
                </c:pt>
                <c:pt idx="105" formatCode="0">
                  <c:v>112</c:v>
                </c:pt>
                <c:pt idx="106" formatCode="0">
                  <c:v>115</c:v>
                </c:pt>
                <c:pt idx="107" formatCode="0">
                  <c:v>117</c:v>
                </c:pt>
                <c:pt idx="108" formatCode="0">
                  <c:v>120</c:v>
                </c:pt>
                <c:pt idx="109" formatCode="0">
                  <c:v>123</c:v>
                </c:pt>
                <c:pt idx="110" formatCode="0">
                  <c:v>126</c:v>
                </c:pt>
                <c:pt idx="111" formatCode="0">
                  <c:v>129</c:v>
                </c:pt>
                <c:pt idx="112" formatCode="0">
                  <c:v>132</c:v>
                </c:pt>
                <c:pt idx="113" formatCode="0">
                  <c:v>135</c:v>
                </c:pt>
                <c:pt idx="114" formatCode="0">
                  <c:v>138</c:v>
                </c:pt>
                <c:pt idx="115" formatCode="0">
                  <c:v>141</c:v>
                </c:pt>
                <c:pt idx="116" formatCode="0">
                  <c:v>145</c:v>
                </c:pt>
                <c:pt idx="117" formatCode="0">
                  <c:v>148</c:v>
                </c:pt>
                <c:pt idx="118" formatCode="0">
                  <c:v>151</c:v>
                </c:pt>
                <c:pt idx="119" formatCode="0">
                  <c:v>155</c:v>
                </c:pt>
                <c:pt idx="120" formatCode="0">
                  <c:v>158</c:v>
                </c:pt>
                <c:pt idx="121" formatCode="0">
                  <c:v>162</c:v>
                </c:pt>
                <c:pt idx="122" formatCode="0">
                  <c:v>166</c:v>
                </c:pt>
                <c:pt idx="123" formatCode="0">
                  <c:v>170</c:v>
                </c:pt>
                <c:pt idx="124" formatCode="0">
                  <c:v>174</c:v>
                </c:pt>
                <c:pt idx="125" formatCode="0">
                  <c:v>178</c:v>
                </c:pt>
                <c:pt idx="126" formatCode="0">
                  <c:v>182</c:v>
                </c:pt>
                <c:pt idx="127" formatCode="0">
                  <c:v>186</c:v>
                </c:pt>
                <c:pt idx="128" formatCode="0">
                  <c:v>191</c:v>
                </c:pt>
                <c:pt idx="129" formatCode="0">
                  <c:v>195</c:v>
                </c:pt>
                <c:pt idx="130" formatCode="0">
                  <c:v>200</c:v>
                </c:pt>
                <c:pt idx="131" formatCode="0">
                  <c:v>204</c:v>
                </c:pt>
                <c:pt idx="132" formatCode="0">
                  <c:v>209</c:v>
                </c:pt>
                <c:pt idx="133" formatCode="0">
                  <c:v>214</c:v>
                </c:pt>
                <c:pt idx="134" formatCode="0">
                  <c:v>219</c:v>
                </c:pt>
                <c:pt idx="135" formatCode="0">
                  <c:v>224</c:v>
                </c:pt>
                <c:pt idx="136" formatCode="0">
                  <c:v>229</c:v>
                </c:pt>
                <c:pt idx="137" formatCode="0">
                  <c:v>234</c:v>
                </c:pt>
                <c:pt idx="138" formatCode="0">
                  <c:v>240</c:v>
                </c:pt>
                <c:pt idx="139" formatCode="0">
                  <c:v>245</c:v>
                </c:pt>
                <c:pt idx="140" formatCode="0">
                  <c:v>251</c:v>
                </c:pt>
                <c:pt idx="141" formatCode="0">
                  <c:v>257</c:v>
                </c:pt>
                <c:pt idx="142" formatCode="0">
                  <c:v>263</c:v>
                </c:pt>
                <c:pt idx="143" formatCode="0">
                  <c:v>269</c:v>
                </c:pt>
                <c:pt idx="144" formatCode="0">
                  <c:v>275</c:v>
                </c:pt>
                <c:pt idx="145" formatCode="0">
                  <c:v>282</c:v>
                </c:pt>
                <c:pt idx="146" formatCode="0">
                  <c:v>288</c:v>
                </c:pt>
                <c:pt idx="147" formatCode="0">
                  <c:v>295</c:v>
                </c:pt>
                <c:pt idx="148" formatCode="0">
                  <c:v>302</c:v>
                </c:pt>
                <c:pt idx="149" formatCode="0">
                  <c:v>309</c:v>
                </c:pt>
                <c:pt idx="150" formatCode="0">
                  <c:v>316</c:v>
                </c:pt>
                <c:pt idx="151" formatCode="0">
                  <c:v>324</c:v>
                </c:pt>
                <c:pt idx="152" formatCode="0">
                  <c:v>331</c:v>
                </c:pt>
                <c:pt idx="153" formatCode="0">
                  <c:v>339</c:v>
                </c:pt>
                <c:pt idx="154" formatCode="0">
                  <c:v>347</c:v>
                </c:pt>
                <c:pt idx="155" formatCode="0">
                  <c:v>355</c:v>
                </c:pt>
                <c:pt idx="156" formatCode="0">
                  <c:v>363</c:v>
                </c:pt>
                <c:pt idx="157" formatCode="0">
                  <c:v>372</c:v>
                </c:pt>
                <c:pt idx="158" formatCode="0">
                  <c:v>380</c:v>
                </c:pt>
                <c:pt idx="159" formatCode="0">
                  <c:v>389</c:v>
                </c:pt>
                <c:pt idx="160" formatCode="0">
                  <c:v>398</c:v>
                </c:pt>
                <c:pt idx="161" formatCode="0">
                  <c:v>407</c:v>
                </c:pt>
                <c:pt idx="162" formatCode="0">
                  <c:v>417</c:v>
                </c:pt>
                <c:pt idx="163" formatCode="0">
                  <c:v>427</c:v>
                </c:pt>
                <c:pt idx="164" formatCode="0">
                  <c:v>437</c:v>
                </c:pt>
                <c:pt idx="165" formatCode="0">
                  <c:v>447</c:v>
                </c:pt>
                <c:pt idx="166" formatCode="0">
                  <c:v>457</c:v>
                </c:pt>
                <c:pt idx="167" formatCode="0">
                  <c:v>468</c:v>
                </c:pt>
                <c:pt idx="168" formatCode="0">
                  <c:v>479</c:v>
                </c:pt>
                <c:pt idx="169" formatCode="0">
                  <c:v>490</c:v>
                </c:pt>
                <c:pt idx="170" formatCode="0">
                  <c:v>501</c:v>
                </c:pt>
                <c:pt idx="171" formatCode="0">
                  <c:v>513</c:v>
                </c:pt>
                <c:pt idx="172" formatCode="0">
                  <c:v>525</c:v>
                </c:pt>
                <c:pt idx="173" formatCode="0">
                  <c:v>537</c:v>
                </c:pt>
                <c:pt idx="174" formatCode="0">
                  <c:v>550</c:v>
                </c:pt>
                <c:pt idx="175" formatCode="0">
                  <c:v>562</c:v>
                </c:pt>
                <c:pt idx="176" formatCode="0">
                  <c:v>575</c:v>
                </c:pt>
                <c:pt idx="177" formatCode="0">
                  <c:v>589</c:v>
                </c:pt>
                <c:pt idx="178" formatCode="0">
                  <c:v>603</c:v>
                </c:pt>
                <c:pt idx="179" formatCode="0">
                  <c:v>617</c:v>
                </c:pt>
                <c:pt idx="180" formatCode="0">
                  <c:v>631</c:v>
                </c:pt>
                <c:pt idx="181" formatCode="0">
                  <c:v>646</c:v>
                </c:pt>
                <c:pt idx="182" formatCode="0">
                  <c:v>661</c:v>
                </c:pt>
                <c:pt idx="183" formatCode="0">
                  <c:v>676</c:v>
                </c:pt>
                <c:pt idx="184" formatCode="0">
                  <c:v>692</c:v>
                </c:pt>
                <c:pt idx="185" formatCode="0">
                  <c:v>708</c:v>
                </c:pt>
                <c:pt idx="186" formatCode="0">
                  <c:v>724</c:v>
                </c:pt>
                <c:pt idx="187" formatCode="0">
                  <c:v>741</c:v>
                </c:pt>
                <c:pt idx="188" formatCode="0">
                  <c:v>759</c:v>
                </c:pt>
                <c:pt idx="189" formatCode="0">
                  <c:v>776</c:v>
                </c:pt>
                <c:pt idx="190" formatCode="0">
                  <c:v>794</c:v>
                </c:pt>
                <c:pt idx="191" formatCode="0">
                  <c:v>813</c:v>
                </c:pt>
                <c:pt idx="192" formatCode="0">
                  <c:v>832</c:v>
                </c:pt>
                <c:pt idx="193" formatCode="0">
                  <c:v>851</c:v>
                </c:pt>
                <c:pt idx="194" formatCode="0">
                  <c:v>871</c:v>
                </c:pt>
                <c:pt idx="195" formatCode="0">
                  <c:v>891</c:v>
                </c:pt>
                <c:pt idx="196" formatCode="0">
                  <c:v>912</c:v>
                </c:pt>
                <c:pt idx="197" formatCode="0">
                  <c:v>933</c:v>
                </c:pt>
                <c:pt idx="198" formatCode="0">
                  <c:v>955</c:v>
                </c:pt>
                <c:pt idx="199" formatCode="0">
                  <c:v>977</c:v>
                </c:pt>
                <c:pt idx="200" formatCode="0">
                  <c:v>1000</c:v>
                </c:pt>
              </c:numCache>
            </c:numRef>
          </c:xVal>
          <c:yVal>
            <c:numRef>
              <c:f>Calculations!$X$11:$X$211</c:f>
              <c:numCache>
                <c:formatCode>0.0</c:formatCode>
                <c:ptCount val="201"/>
                <c:pt idx="0">
                  <c:v>20.689294279826857</c:v>
                </c:pt>
                <c:pt idx="1">
                  <c:v>20.586180924721756</c:v>
                </c:pt>
                <c:pt idx="2">
                  <c:v>20.427653438346134</c:v>
                </c:pt>
                <c:pt idx="3">
                  <c:v>20.319392244042131</c:v>
                </c:pt>
                <c:pt idx="4">
                  <c:v>20.153127300917166</c:v>
                </c:pt>
                <c:pt idx="5">
                  <c:v>20.039696112127512</c:v>
                </c:pt>
                <c:pt idx="6">
                  <c:v>19.865656404767286</c:v>
                </c:pt>
                <c:pt idx="7">
                  <c:v>19.747027473394422</c:v>
                </c:pt>
                <c:pt idx="8">
                  <c:v>19.565166795838881</c:v>
                </c:pt>
                <c:pt idx="9">
                  <c:v>19.378587288225042</c:v>
                </c:pt>
                <c:pt idx="10">
                  <c:v>19.18726649217324</c:v>
                </c:pt>
                <c:pt idx="11">
                  <c:v>18.991179561985291</c:v>
                </c:pt>
                <c:pt idx="12">
                  <c:v>18.790299180843334</c:v>
                </c:pt>
                <c:pt idx="13">
                  <c:v>18.584595497704854</c:v>
                </c:pt>
                <c:pt idx="14">
                  <c:v>18.374036089659217</c:v>
                </c:pt>
                <c:pt idx="15">
                  <c:v>18.158585955069004</c:v>
                </c:pt>
                <c:pt idx="16">
                  <c:v>17.863646051323428</c:v>
                </c:pt>
                <c:pt idx="17">
                  <c:v>17.636633929404223</c:v>
                </c:pt>
                <c:pt idx="18">
                  <c:v>17.404596506740539</c:v>
                </c:pt>
                <c:pt idx="19">
                  <c:v>17.087317715863861</c:v>
                </c:pt>
                <c:pt idx="20">
                  <c:v>16.843375638791152</c:v>
                </c:pt>
                <c:pt idx="21">
                  <c:v>16.51004929743619</c:v>
                </c:pt>
                <c:pt idx="22">
                  <c:v>16.167391524482355</c:v>
                </c:pt>
                <c:pt idx="23">
                  <c:v>15.815284187498456</c:v>
                </c:pt>
                <c:pt idx="24">
                  <c:v>15.45361225610381</c:v>
                </c:pt>
                <c:pt idx="25">
                  <c:v>15.082267798157282</c:v>
                </c:pt>
                <c:pt idx="26">
                  <c:v>14.701154850546526</c:v>
                </c:pt>
                <c:pt idx="27">
                  <c:v>14.31019526250145</c:v>
                </c:pt>
                <c:pt idx="28">
                  <c:v>13.807570539033962</c:v>
                </c:pt>
                <c:pt idx="29">
                  <c:v>13.394311476483962</c:v>
                </c:pt>
                <c:pt idx="30">
                  <c:v>12.863844315410834</c:v>
                </c:pt>
                <c:pt idx="31">
                  <c:v>12.428474306217533</c:v>
                </c:pt>
                <c:pt idx="32">
                  <c:v>11.870805654922785</c:v>
                </c:pt>
                <c:pt idx="33">
                  <c:v>11.298693913472921</c:v>
                </c:pt>
                <c:pt idx="34">
                  <c:v>10.712926365583902</c:v>
                </c:pt>
                <c:pt idx="35">
                  <c:v>10.114594825536958</c:v>
                </c:pt>
                <c:pt idx="36">
                  <c:v>9.5051505410349275</c:v>
                </c:pt>
                <c:pt idx="37">
                  <c:v>8.8864631316653213</c:v>
                </c:pt>
                <c:pt idx="38">
                  <c:v>8.1351867000275906</c:v>
                </c:pt>
                <c:pt idx="39">
                  <c:v>7.5052276212286175</c:v>
                </c:pt>
                <c:pt idx="40">
                  <c:v>6.7501170905567403</c:v>
                </c:pt>
                <c:pt idx="41">
                  <c:v>6.0034167799582052</c:v>
                </c:pt>
                <c:pt idx="42">
                  <c:v>5.2750416643019964</c:v>
                </c:pt>
                <c:pt idx="43">
                  <c:v>4.5776910764261416</c:v>
                </c:pt>
                <c:pt idx="44">
                  <c:v>3.9280806525402867</c:v>
                </c:pt>
                <c:pt idx="45">
                  <c:v>3.2611419058159061</c:v>
                </c:pt>
                <c:pt idx="46">
                  <c:v>2.803119057792554</c:v>
                </c:pt>
                <c:pt idx="47">
                  <c:v>2.4541122664214514</c:v>
                </c:pt>
                <c:pt idx="48">
                  <c:v>2.3457256856380728</c:v>
                </c:pt>
                <c:pt idx="49">
                  <c:v>2.4622495601362244</c:v>
                </c:pt>
                <c:pt idx="50">
                  <c:v>2.7314863093870767</c:v>
                </c:pt>
                <c:pt idx="51">
                  <c:v>3.1281805223492052</c:v>
                </c:pt>
                <c:pt idx="52">
                  <c:v>3.4953234544027056</c:v>
                </c:pt>
                <c:pt idx="53">
                  <c:v>3.8999416031124801</c:v>
                </c:pt>
                <c:pt idx="54">
                  <c:v>4.2689737528195719</c:v>
                </c:pt>
                <c:pt idx="55">
                  <c:v>4.5936575736078629</c:v>
                </c:pt>
                <c:pt idx="56">
                  <c:v>4.8717208734290107</c:v>
                </c:pt>
                <c:pt idx="57">
                  <c:v>5.1303368394594635</c:v>
                </c:pt>
                <c:pt idx="58">
                  <c:v>5.3153495633655536</c:v>
                </c:pt>
                <c:pt idx="59">
                  <c:v>5.4779522711688129</c:v>
                </c:pt>
                <c:pt idx="60">
                  <c:v>5.5979120617046805</c:v>
                </c:pt>
                <c:pt idx="61">
                  <c:v>5.6808915062001919</c:v>
                </c:pt>
                <c:pt idx="62">
                  <c:v>5.7361222684458477</c:v>
                </c:pt>
                <c:pt idx="63">
                  <c:v>5.7587086104690384</c:v>
                </c:pt>
                <c:pt idx="64">
                  <c:v>5.7543323606022865</c:v>
                </c:pt>
                <c:pt idx="65">
                  <c:v>5.7278765143383179</c:v>
                </c:pt>
                <c:pt idx="66">
                  <c:v>5.6834917023156315</c:v>
                </c:pt>
                <c:pt idx="67">
                  <c:v>5.6181216523329258</c:v>
                </c:pt>
                <c:pt idx="68">
                  <c:v>5.5391589469904892</c:v>
                </c:pt>
                <c:pt idx="69">
                  <c:v>5.4497839135238433</c:v>
                </c:pt>
                <c:pt idx="70">
                  <c:v>5.352595757208543</c:v>
                </c:pt>
                <c:pt idx="71">
                  <c:v>5.2401392298697047</c:v>
                </c:pt>
                <c:pt idx="72">
                  <c:v>5.1231131441394773</c:v>
                </c:pt>
                <c:pt idx="73">
                  <c:v>5.0032788317286911</c:v>
                </c:pt>
                <c:pt idx="74">
                  <c:v>4.8719000517140074</c:v>
                </c:pt>
                <c:pt idx="75">
                  <c:v>4.7503556818922004</c:v>
                </c:pt>
                <c:pt idx="76">
                  <c:v>4.6193959962793452</c:v>
                </c:pt>
                <c:pt idx="77">
                  <c:v>4.4801088007240155</c:v>
                </c:pt>
                <c:pt idx="78">
                  <c:v>4.3433812260596687</c:v>
                </c:pt>
                <c:pt idx="79">
                  <c:v>4.2097709313814882</c:v>
                </c:pt>
                <c:pt idx="80">
                  <c:v>4.079669665552184</c:v>
                </c:pt>
                <c:pt idx="81">
                  <c:v>3.9444663168388994</c:v>
                </c:pt>
                <c:pt idx="82">
                  <c:v>3.8137901135444396</c:v>
                </c:pt>
                <c:pt idx="83">
                  <c:v>3.6877400052946054</c:v>
                </c:pt>
                <c:pt idx="84">
                  <c:v>3.5584118321632019</c:v>
                </c:pt>
                <c:pt idx="85">
                  <c:v>3.434334365022869</c:v>
                </c:pt>
                <c:pt idx="86">
                  <c:v>3.3154157336289756</c:v>
                </c:pt>
                <c:pt idx="87">
                  <c:v>3.1945726618476069</c:v>
                </c:pt>
                <c:pt idx="88">
                  <c:v>3.0726034286639901</c:v>
                </c:pt>
                <c:pt idx="89">
                  <c:v>2.9628431139631224</c:v>
                </c:pt>
                <c:pt idx="90">
                  <c:v>2.8521308341798894</c:v>
                </c:pt>
                <c:pt idx="91">
                  <c:v>2.7411213621279873</c:v>
                </c:pt>
                <c:pt idx="92">
                  <c:v>2.6358154701654231</c:v>
                </c:pt>
                <c:pt idx="93">
                  <c:v>2.5359043585419574</c:v>
                </c:pt>
                <c:pt idx="94">
                  <c:v>2.436233121960099</c:v>
                </c:pt>
                <c:pt idx="95">
                  <c:v>2.3418703206538227</c:v>
                </c:pt>
                <c:pt idx="96">
                  <c:v>2.2481515335170275</c:v>
                </c:pt>
                <c:pt idx="97">
                  <c:v>2.159579704018983</c:v>
                </c:pt>
                <c:pt idx="98">
                  <c:v>2.0719502016609366</c:v>
                </c:pt>
                <c:pt idx="99">
                  <c:v>1.9892501567074625</c:v>
                </c:pt>
                <c:pt idx="100">
                  <c:v>1.9077016090773726</c:v>
                </c:pt>
                <c:pt idx="101">
                  <c:v>1.8406000093342321</c:v>
                </c:pt>
                <c:pt idx="102">
                  <c:v>1.7461048646594992</c:v>
                </c:pt>
                <c:pt idx="103">
                  <c:v>1.6869246159742974</c:v>
                </c:pt>
                <c:pt idx="104">
                  <c:v>1.6034256210476356</c:v>
                </c:pt>
                <c:pt idx="105">
                  <c:v>1.5510314434007557</c:v>
                </c:pt>
                <c:pt idx="106">
                  <c:v>1.4769668834477849</c:v>
                </c:pt>
                <c:pt idx="107">
                  <c:v>1.4304045813024568</c:v>
                </c:pt>
                <c:pt idx="108">
                  <c:v>1.3644618934707109</c:v>
                </c:pt>
                <c:pt idx="109">
                  <c:v>1.3028504153791567</c:v>
                </c:pt>
                <c:pt idx="110">
                  <c:v>1.2452119183567494</c:v>
                </c:pt>
                <c:pt idx="111">
                  <c:v>1.1912227712512506</c:v>
                </c:pt>
                <c:pt idx="112">
                  <c:v>1.1405902757725934</c:v>
                </c:pt>
                <c:pt idx="113">
                  <c:v>1.0930493953518823</c:v>
                </c:pt>
                <c:pt idx="114">
                  <c:v>1.0483598417928965</c:v>
                </c:pt>
                <c:pt idx="115">
                  <c:v>1.0063034842132481</c:v>
                </c:pt>
                <c:pt idx="116">
                  <c:v>0.9539843248789468</c:v>
                </c:pt>
                <c:pt idx="117">
                  <c:v>0.91733153210915663</c:v>
                </c:pt>
                <c:pt idx="118">
                  <c:v>0.88271715945873874</c:v>
                </c:pt>
                <c:pt idx="119">
                  <c:v>0.83948564617802046</c:v>
                </c:pt>
                <c:pt idx="120">
                  <c:v>0.80908264359824345</c:v>
                </c:pt>
                <c:pt idx="121">
                  <c:v>0.77101432573828865</c:v>
                </c:pt>
                <c:pt idx="122">
                  <c:v>0.73553679127818028</c:v>
                </c:pt>
                <c:pt idx="123">
                  <c:v>0.70242342999006391</c:v>
                </c:pt>
                <c:pt idx="124">
                  <c:v>0.67147148915454691</c:v>
                </c:pt>
                <c:pt idx="125">
                  <c:v>0.64249917698360903</c:v>
                </c:pt>
                <c:pt idx="126">
                  <c:v>0.61534315902753633</c:v>
                </c:pt>
                <c:pt idx="127">
                  <c:v>0.5898563895274298</c:v>
                </c:pt>
                <c:pt idx="128">
                  <c:v>0.56014447688730029</c:v>
                </c:pt>
                <c:pt idx="129">
                  <c:v>0.537947865192409</c:v>
                </c:pt>
                <c:pt idx="130">
                  <c:v>0.51199442907177739</c:v>
                </c:pt>
                <c:pt idx="131">
                  <c:v>0.49254979557016393</c:v>
                </c:pt>
                <c:pt idx="132">
                  <c:v>0.46975162910657531</c:v>
                </c:pt>
                <c:pt idx="133">
                  <c:v>0.44848932157806776</c:v>
                </c:pt>
                <c:pt idx="134">
                  <c:v>0.42862895534029438</c:v>
                </c:pt>
                <c:pt idx="135">
                  <c:v>0.41005078490236996</c:v>
                </c:pt>
                <c:pt idx="136">
                  <c:v>0.39264748936198862</c:v>
                </c:pt>
                <c:pt idx="137">
                  <c:v>0.37632266890741362</c:v>
                </c:pt>
                <c:pt idx="138">
                  <c:v>0.35803490086164785</c:v>
                </c:pt>
                <c:pt idx="139">
                  <c:v>0.34378917428337957</c:v>
                </c:pt>
                <c:pt idx="140">
                  <c:v>0.3277834167942198</c:v>
                </c:pt>
                <c:pt idx="141">
                  <c:v>0.31286470861681742</c:v>
                </c:pt>
                <c:pt idx="142">
                  <c:v>0.29893726132533205</c:v>
                </c:pt>
                <c:pt idx="143">
                  <c:v>0.28591555842884042</c:v>
                </c:pt>
                <c:pt idx="144">
                  <c:v>0.27372306797843399</c:v>
                </c:pt>
                <c:pt idx="145">
                  <c:v>0.26045533319932662</c:v>
                </c:pt>
                <c:pt idx="146">
                  <c:v>0.24983315710837872</c:v>
                </c:pt>
                <c:pt idx="147">
                  <c:v>0.23823902540365721</c:v>
                </c:pt>
                <c:pt idx="148">
                  <c:v>0.22743096105500779</c:v>
                </c:pt>
                <c:pt idx="149">
                  <c:v>0.21733971262993462</c:v>
                </c:pt>
                <c:pt idx="150">
                  <c:v>0.20790346499314277</c:v>
                </c:pt>
                <c:pt idx="151">
                  <c:v>0.19785053427511973</c:v>
                </c:pt>
                <c:pt idx="152">
                  <c:v>0.18963887967908674</c:v>
                </c:pt>
                <c:pt idx="153">
                  <c:v>0.18086337405004202</c:v>
                </c:pt>
                <c:pt idx="154">
                  <c:v>0.17268168711240145</c:v>
                </c:pt>
                <c:pt idx="155">
                  <c:v>0.16504155700666434</c:v>
                </c:pt>
                <c:pt idx="156">
                  <c:v>0.15789633340291639</c:v>
                </c:pt>
                <c:pt idx="157">
                  <c:v>0.15039771857663878</c:v>
                </c:pt>
                <c:pt idx="158">
                  <c:v>0.14417089941705416</c:v>
                </c:pt>
                <c:pt idx="159">
                  <c:v>0.13761613818387619</c:v>
                </c:pt>
                <c:pt idx="160">
                  <c:v>0.13149761056745804</c:v>
                </c:pt>
                <c:pt idx="161">
                  <c:v>0.12577751901918824</c:v>
                </c:pt>
                <c:pt idx="162">
                  <c:v>0.11984817642158746</c:v>
                </c:pt>
                <c:pt idx="163">
                  <c:v>0.11432776352788618</c:v>
                </c:pt>
                <c:pt idx="164">
                  <c:v>0.10917958226068868</c:v>
                </c:pt>
                <c:pt idx="165">
                  <c:v>0.10437095441600661</c:v>
                </c:pt>
                <c:pt idx="166">
                  <c:v>9.9872705409620094E-2</c:v>
                </c:pt>
                <c:pt idx="167">
                  <c:v>9.5252036811377422E-2</c:v>
                </c:pt>
                <c:pt idx="168">
                  <c:v>9.0944363901677011E-2</c:v>
                </c:pt>
                <c:pt idx="169">
                  <c:v>8.6922077901981351E-2</c:v>
                </c:pt>
                <c:pt idx="170">
                  <c:v>8.3160544719857621E-2</c:v>
                </c:pt>
                <c:pt idx="171">
                  <c:v>7.9328610823425072E-2</c:v>
                </c:pt>
                <c:pt idx="172">
                  <c:v>7.5755278200517223E-2</c:v>
                </c:pt>
                <c:pt idx="173">
                  <c:v>7.2417814236962669E-2</c:v>
                </c:pt>
                <c:pt idx="174">
                  <c:v>6.9044918424444046E-2</c:v>
                </c:pt>
                <c:pt idx="175">
                  <c:v>6.6136145152548551E-2</c:v>
                </c:pt>
                <c:pt idx="176">
                  <c:v>6.3187468209127767E-2</c:v>
                </c:pt>
                <c:pt idx="177">
                  <c:v>6.0227021840097039E-2</c:v>
                </c:pt>
                <c:pt idx="178">
                  <c:v>5.7469692371584537E-2</c:v>
                </c:pt>
                <c:pt idx="179">
                  <c:v>5.4897329067394258E-2</c:v>
                </c:pt>
                <c:pt idx="180">
                  <c:v>5.2493762763181094E-2</c:v>
                </c:pt>
                <c:pt idx="181">
                  <c:v>5.0089450386956946E-2</c:v>
                </c:pt>
                <c:pt idx="182">
                  <c:v>4.7846507063901159E-2</c:v>
                </c:pt>
                <c:pt idx="183">
                  <c:v>4.5750817851219636E-2</c:v>
                </c:pt>
                <c:pt idx="184">
                  <c:v>4.3663545129477094E-2</c:v>
                </c:pt>
                <c:pt idx="185">
                  <c:v>4.1715839155978436E-2</c:v>
                </c:pt>
                <c:pt idx="186">
                  <c:v>3.9895535639518726E-2</c:v>
                </c:pt>
                <c:pt idx="187">
                  <c:v>3.8088922479507084E-2</c:v>
                </c:pt>
                <c:pt idx="188">
                  <c:v>3.6306531578727479E-2</c:v>
                </c:pt>
                <c:pt idx="189">
                  <c:v>3.4735546576347018E-2</c:v>
                </c:pt>
                <c:pt idx="190">
                  <c:v>3.3180699245891336E-2</c:v>
                </c:pt>
                <c:pt idx="191">
                  <c:v>3.1650017274635414E-2</c:v>
                </c:pt>
                <c:pt idx="192">
                  <c:v>3.0222818403993757E-2</c:v>
                </c:pt>
                <c:pt idx="193">
                  <c:v>2.8889984212056029E-2</c:v>
                </c:pt>
                <c:pt idx="194">
                  <c:v>2.7580014831043886E-2</c:v>
                </c:pt>
                <c:pt idx="195">
                  <c:v>2.6357132119434371E-2</c:v>
                </c:pt>
                <c:pt idx="196">
                  <c:v>2.5158583471328141E-2</c:v>
                </c:pt>
                <c:pt idx="197">
                  <c:v>2.4039940272705739E-2</c:v>
                </c:pt>
                <c:pt idx="198">
                  <c:v>2.2946173510289256E-2</c:v>
                </c:pt>
                <c:pt idx="199">
                  <c:v>2.1925367116960186E-2</c:v>
                </c:pt>
                <c:pt idx="200">
                  <c:v>2.0929291362482848E-2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98D-43BD-B51E-0FDD565CBA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26208"/>
        <c:axId val="1924051936"/>
      </c:scatterChart>
      <c:scatterChart>
        <c:scatterStyle val="smoothMarker"/>
        <c:varyColors val="0"/>
        <c:ser>
          <c:idx val="2"/>
          <c:order val="1"/>
          <c:tx>
            <c:v>Port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Calculations!$B$11:$B$211</c:f>
              <c:numCache>
                <c:formatCode>0.0</c:formatCode>
                <c:ptCount val="201"/>
                <c:pt idx="0">
                  <c:v>10</c:v>
                </c:pt>
                <c:pt idx="1">
                  <c:v>10.199999999999999</c:v>
                </c:pt>
                <c:pt idx="2">
                  <c:v>10.5</c:v>
                </c:pt>
                <c:pt idx="3">
                  <c:v>10.7</c:v>
                </c:pt>
                <c:pt idx="4">
                  <c:v>11</c:v>
                </c:pt>
                <c:pt idx="5">
                  <c:v>11.2</c:v>
                </c:pt>
                <c:pt idx="6">
                  <c:v>11.5</c:v>
                </c:pt>
                <c:pt idx="7">
                  <c:v>11.7</c:v>
                </c:pt>
                <c:pt idx="8">
                  <c:v>12</c:v>
                </c:pt>
                <c:pt idx="9">
                  <c:v>12.3</c:v>
                </c:pt>
                <c:pt idx="10">
                  <c:v>12.6</c:v>
                </c:pt>
                <c:pt idx="11">
                  <c:v>12.9</c:v>
                </c:pt>
                <c:pt idx="12">
                  <c:v>13.2</c:v>
                </c:pt>
                <c:pt idx="13">
                  <c:v>13.5</c:v>
                </c:pt>
                <c:pt idx="14">
                  <c:v>13.8</c:v>
                </c:pt>
                <c:pt idx="15">
                  <c:v>14.1</c:v>
                </c:pt>
                <c:pt idx="16">
                  <c:v>14.5</c:v>
                </c:pt>
                <c:pt idx="17">
                  <c:v>14.8</c:v>
                </c:pt>
                <c:pt idx="18">
                  <c:v>15.1</c:v>
                </c:pt>
                <c:pt idx="19">
                  <c:v>15.5</c:v>
                </c:pt>
                <c:pt idx="20">
                  <c:v>15.8</c:v>
                </c:pt>
                <c:pt idx="21">
                  <c:v>16.2</c:v>
                </c:pt>
                <c:pt idx="22">
                  <c:v>16.600000000000001</c:v>
                </c:pt>
                <c:pt idx="23">
                  <c:v>17</c:v>
                </c:pt>
                <c:pt idx="24">
                  <c:v>17.399999999999999</c:v>
                </c:pt>
                <c:pt idx="25">
                  <c:v>17.8</c:v>
                </c:pt>
                <c:pt idx="26">
                  <c:v>18.2</c:v>
                </c:pt>
                <c:pt idx="27">
                  <c:v>18.600000000000001</c:v>
                </c:pt>
                <c:pt idx="28">
                  <c:v>19.100000000000001</c:v>
                </c:pt>
                <c:pt idx="29">
                  <c:v>19.5</c:v>
                </c:pt>
                <c:pt idx="30">
                  <c:v>20</c:v>
                </c:pt>
                <c:pt idx="31">
                  <c:v>20.399999999999999</c:v>
                </c:pt>
                <c:pt idx="32">
                  <c:v>20.9</c:v>
                </c:pt>
                <c:pt idx="33">
                  <c:v>21.4</c:v>
                </c:pt>
                <c:pt idx="34">
                  <c:v>21.9</c:v>
                </c:pt>
                <c:pt idx="35">
                  <c:v>22.4</c:v>
                </c:pt>
                <c:pt idx="36">
                  <c:v>22.9</c:v>
                </c:pt>
                <c:pt idx="37">
                  <c:v>23.4</c:v>
                </c:pt>
                <c:pt idx="38">
                  <c:v>24</c:v>
                </c:pt>
                <c:pt idx="39">
                  <c:v>24.5</c:v>
                </c:pt>
                <c:pt idx="40">
                  <c:v>25.1</c:v>
                </c:pt>
                <c:pt idx="41">
                  <c:v>25.7</c:v>
                </c:pt>
                <c:pt idx="42">
                  <c:v>26.3</c:v>
                </c:pt>
                <c:pt idx="43">
                  <c:v>26.9</c:v>
                </c:pt>
                <c:pt idx="44">
                  <c:v>27.5</c:v>
                </c:pt>
                <c:pt idx="45">
                  <c:v>28.2</c:v>
                </c:pt>
                <c:pt idx="46">
                  <c:v>28.8</c:v>
                </c:pt>
                <c:pt idx="47">
                  <c:v>29.5</c:v>
                </c:pt>
                <c:pt idx="48">
                  <c:v>30.2</c:v>
                </c:pt>
                <c:pt idx="49">
                  <c:v>30.9</c:v>
                </c:pt>
                <c:pt idx="50">
                  <c:v>31.6</c:v>
                </c:pt>
                <c:pt idx="51">
                  <c:v>32.4</c:v>
                </c:pt>
                <c:pt idx="52">
                  <c:v>33.1</c:v>
                </c:pt>
                <c:pt idx="53">
                  <c:v>33.9</c:v>
                </c:pt>
                <c:pt idx="54">
                  <c:v>34.700000000000003</c:v>
                </c:pt>
                <c:pt idx="55">
                  <c:v>35.5</c:v>
                </c:pt>
                <c:pt idx="56">
                  <c:v>36.299999999999997</c:v>
                </c:pt>
                <c:pt idx="57">
                  <c:v>37.200000000000003</c:v>
                </c:pt>
                <c:pt idx="58">
                  <c:v>38</c:v>
                </c:pt>
                <c:pt idx="59">
                  <c:v>38.9</c:v>
                </c:pt>
                <c:pt idx="60">
                  <c:v>39.799999999999997</c:v>
                </c:pt>
                <c:pt idx="61">
                  <c:v>40.700000000000003</c:v>
                </c:pt>
                <c:pt idx="62">
                  <c:v>41.7</c:v>
                </c:pt>
                <c:pt idx="63">
                  <c:v>42.7</c:v>
                </c:pt>
                <c:pt idx="64">
                  <c:v>43.7</c:v>
                </c:pt>
                <c:pt idx="65">
                  <c:v>44.7</c:v>
                </c:pt>
                <c:pt idx="66">
                  <c:v>45.7</c:v>
                </c:pt>
                <c:pt idx="67">
                  <c:v>46.8</c:v>
                </c:pt>
                <c:pt idx="68">
                  <c:v>47.9</c:v>
                </c:pt>
                <c:pt idx="69">
                  <c:v>49</c:v>
                </c:pt>
                <c:pt idx="70">
                  <c:v>50.1</c:v>
                </c:pt>
                <c:pt idx="71">
                  <c:v>51.3</c:v>
                </c:pt>
                <c:pt idx="72">
                  <c:v>52.5</c:v>
                </c:pt>
                <c:pt idx="73">
                  <c:v>53.7</c:v>
                </c:pt>
                <c:pt idx="74">
                  <c:v>55</c:v>
                </c:pt>
                <c:pt idx="75">
                  <c:v>56.2</c:v>
                </c:pt>
                <c:pt idx="76">
                  <c:v>57.5</c:v>
                </c:pt>
                <c:pt idx="77">
                  <c:v>58.9</c:v>
                </c:pt>
                <c:pt idx="78">
                  <c:v>60.3</c:v>
                </c:pt>
                <c:pt idx="79">
                  <c:v>61.7</c:v>
                </c:pt>
                <c:pt idx="80">
                  <c:v>63.1</c:v>
                </c:pt>
                <c:pt idx="81">
                  <c:v>64.599999999999994</c:v>
                </c:pt>
                <c:pt idx="82">
                  <c:v>66.099999999999994</c:v>
                </c:pt>
                <c:pt idx="83">
                  <c:v>67.599999999999994</c:v>
                </c:pt>
                <c:pt idx="84">
                  <c:v>69.2</c:v>
                </c:pt>
                <c:pt idx="85">
                  <c:v>70.8</c:v>
                </c:pt>
                <c:pt idx="86">
                  <c:v>72.400000000000006</c:v>
                </c:pt>
                <c:pt idx="87">
                  <c:v>74.099999999999994</c:v>
                </c:pt>
                <c:pt idx="88">
                  <c:v>75.900000000000006</c:v>
                </c:pt>
                <c:pt idx="89">
                  <c:v>77.599999999999994</c:v>
                </c:pt>
                <c:pt idx="90">
                  <c:v>79.400000000000006</c:v>
                </c:pt>
                <c:pt idx="91">
                  <c:v>81.3</c:v>
                </c:pt>
                <c:pt idx="92">
                  <c:v>83.2</c:v>
                </c:pt>
                <c:pt idx="93">
                  <c:v>85.1</c:v>
                </c:pt>
                <c:pt idx="94">
                  <c:v>87.1</c:v>
                </c:pt>
                <c:pt idx="95">
                  <c:v>89.1</c:v>
                </c:pt>
                <c:pt idx="96">
                  <c:v>91.2</c:v>
                </c:pt>
                <c:pt idx="97">
                  <c:v>93.3</c:v>
                </c:pt>
                <c:pt idx="98">
                  <c:v>95.5</c:v>
                </c:pt>
                <c:pt idx="99">
                  <c:v>97.7</c:v>
                </c:pt>
                <c:pt idx="100" formatCode="0">
                  <c:v>100</c:v>
                </c:pt>
                <c:pt idx="101" formatCode="0">
                  <c:v>102</c:v>
                </c:pt>
                <c:pt idx="102" formatCode="0">
                  <c:v>105</c:v>
                </c:pt>
                <c:pt idx="103" formatCode="0">
                  <c:v>107</c:v>
                </c:pt>
                <c:pt idx="104" formatCode="0">
                  <c:v>110</c:v>
                </c:pt>
                <c:pt idx="105" formatCode="0">
                  <c:v>112</c:v>
                </c:pt>
                <c:pt idx="106" formatCode="0">
                  <c:v>115</c:v>
                </c:pt>
                <c:pt idx="107" formatCode="0">
                  <c:v>117</c:v>
                </c:pt>
                <c:pt idx="108" formatCode="0">
                  <c:v>120</c:v>
                </c:pt>
                <c:pt idx="109" formatCode="0">
                  <c:v>123</c:v>
                </c:pt>
                <c:pt idx="110" formatCode="0">
                  <c:v>126</c:v>
                </c:pt>
                <c:pt idx="111" formatCode="0">
                  <c:v>129</c:v>
                </c:pt>
                <c:pt idx="112" formatCode="0">
                  <c:v>132</c:v>
                </c:pt>
                <c:pt idx="113" formatCode="0">
                  <c:v>135</c:v>
                </c:pt>
                <c:pt idx="114" formatCode="0">
                  <c:v>138</c:v>
                </c:pt>
                <c:pt idx="115" formatCode="0">
                  <c:v>141</c:v>
                </c:pt>
                <c:pt idx="116" formatCode="0">
                  <c:v>145</c:v>
                </c:pt>
                <c:pt idx="117" formatCode="0">
                  <c:v>148</c:v>
                </c:pt>
                <c:pt idx="118" formatCode="0">
                  <c:v>151</c:v>
                </c:pt>
                <c:pt idx="119" formatCode="0">
                  <c:v>155</c:v>
                </c:pt>
                <c:pt idx="120" formatCode="0">
                  <c:v>158</c:v>
                </c:pt>
                <c:pt idx="121" formatCode="0">
                  <c:v>162</c:v>
                </c:pt>
                <c:pt idx="122" formatCode="0">
                  <c:v>166</c:v>
                </c:pt>
                <c:pt idx="123" formatCode="0">
                  <c:v>170</c:v>
                </c:pt>
                <c:pt idx="124" formatCode="0">
                  <c:v>174</c:v>
                </c:pt>
                <c:pt idx="125" formatCode="0">
                  <c:v>178</c:v>
                </c:pt>
                <c:pt idx="126" formatCode="0">
                  <c:v>182</c:v>
                </c:pt>
                <c:pt idx="127" formatCode="0">
                  <c:v>186</c:v>
                </c:pt>
                <c:pt idx="128" formatCode="0">
                  <c:v>191</c:v>
                </c:pt>
                <c:pt idx="129" formatCode="0">
                  <c:v>195</c:v>
                </c:pt>
                <c:pt idx="130" formatCode="0">
                  <c:v>200</c:v>
                </c:pt>
                <c:pt idx="131" formatCode="0">
                  <c:v>204</c:v>
                </c:pt>
                <c:pt idx="132" formatCode="0">
                  <c:v>209</c:v>
                </c:pt>
                <c:pt idx="133" formatCode="0">
                  <c:v>214</c:v>
                </c:pt>
                <c:pt idx="134" formatCode="0">
                  <c:v>219</c:v>
                </c:pt>
                <c:pt idx="135" formatCode="0">
                  <c:v>224</c:v>
                </c:pt>
                <c:pt idx="136" formatCode="0">
                  <c:v>229</c:v>
                </c:pt>
                <c:pt idx="137" formatCode="0">
                  <c:v>234</c:v>
                </c:pt>
                <c:pt idx="138" formatCode="0">
                  <c:v>240</c:v>
                </c:pt>
                <c:pt idx="139" formatCode="0">
                  <c:v>245</c:v>
                </c:pt>
                <c:pt idx="140" formatCode="0">
                  <c:v>251</c:v>
                </c:pt>
                <c:pt idx="141" formatCode="0">
                  <c:v>257</c:v>
                </c:pt>
                <c:pt idx="142" formatCode="0">
                  <c:v>263</c:v>
                </c:pt>
                <c:pt idx="143" formatCode="0">
                  <c:v>269</c:v>
                </c:pt>
                <c:pt idx="144" formatCode="0">
                  <c:v>275</c:v>
                </c:pt>
                <c:pt idx="145" formatCode="0">
                  <c:v>282</c:v>
                </c:pt>
                <c:pt idx="146" formatCode="0">
                  <c:v>288</c:v>
                </c:pt>
                <c:pt idx="147" formatCode="0">
                  <c:v>295</c:v>
                </c:pt>
                <c:pt idx="148" formatCode="0">
                  <c:v>302</c:v>
                </c:pt>
                <c:pt idx="149" formatCode="0">
                  <c:v>309</c:v>
                </c:pt>
                <c:pt idx="150" formatCode="0">
                  <c:v>316</c:v>
                </c:pt>
                <c:pt idx="151" formatCode="0">
                  <c:v>324</c:v>
                </c:pt>
                <c:pt idx="152" formatCode="0">
                  <c:v>331</c:v>
                </c:pt>
                <c:pt idx="153" formatCode="0">
                  <c:v>339</c:v>
                </c:pt>
                <c:pt idx="154" formatCode="0">
                  <c:v>347</c:v>
                </c:pt>
                <c:pt idx="155" formatCode="0">
                  <c:v>355</c:v>
                </c:pt>
                <c:pt idx="156" formatCode="0">
                  <c:v>363</c:v>
                </c:pt>
                <c:pt idx="157" formatCode="0">
                  <c:v>372</c:v>
                </c:pt>
                <c:pt idx="158" formatCode="0">
                  <c:v>380</c:v>
                </c:pt>
                <c:pt idx="159" formatCode="0">
                  <c:v>389</c:v>
                </c:pt>
                <c:pt idx="160" formatCode="0">
                  <c:v>398</c:v>
                </c:pt>
                <c:pt idx="161" formatCode="0">
                  <c:v>407</c:v>
                </c:pt>
                <c:pt idx="162" formatCode="0">
                  <c:v>417</c:v>
                </c:pt>
                <c:pt idx="163" formatCode="0">
                  <c:v>427</c:v>
                </c:pt>
                <c:pt idx="164" formatCode="0">
                  <c:v>437</c:v>
                </c:pt>
                <c:pt idx="165" formatCode="0">
                  <c:v>447</c:v>
                </c:pt>
                <c:pt idx="166" formatCode="0">
                  <c:v>457</c:v>
                </c:pt>
                <c:pt idx="167" formatCode="0">
                  <c:v>468</c:v>
                </c:pt>
                <c:pt idx="168" formatCode="0">
                  <c:v>479</c:v>
                </c:pt>
                <c:pt idx="169" formatCode="0">
                  <c:v>490</c:v>
                </c:pt>
                <c:pt idx="170" formatCode="0">
                  <c:v>501</c:v>
                </c:pt>
                <c:pt idx="171" formatCode="0">
                  <c:v>513</c:v>
                </c:pt>
                <c:pt idx="172" formatCode="0">
                  <c:v>525</c:v>
                </c:pt>
                <c:pt idx="173" formatCode="0">
                  <c:v>537</c:v>
                </c:pt>
                <c:pt idx="174" formatCode="0">
                  <c:v>550</c:v>
                </c:pt>
                <c:pt idx="175" formatCode="0">
                  <c:v>562</c:v>
                </c:pt>
                <c:pt idx="176" formatCode="0">
                  <c:v>575</c:v>
                </c:pt>
                <c:pt idx="177" formatCode="0">
                  <c:v>589</c:v>
                </c:pt>
                <c:pt idx="178" formatCode="0">
                  <c:v>603</c:v>
                </c:pt>
                <c:pt idx="179" formatCode="0">
                  <c:v>617</c:v>
                </c:pt>
                <c:pt idx="180" formatCode="0">
                  <c:v>631</c:v>
                </c:pt>
                <c:pt idx="181" formatCode="0">
                  <c:v>646</c:v>
                </c:pt>
                <c:pt idx="182" formatCode="0">
                  <c:v>661</c:v>
                </c:pt>
                <c:pt idx="183" formatCode="0">
                  <c:v>676</c:v>
                </c:pt>
                <c:pt idx="184" formatCode="0">
                  <c:v>692</c:v>
                </c:pt>
                <c:pt idx="185" formatCode="0">
                  <c:v>708</c:v>
                </c:pt>
                <c:pt idx="186" formatCode="0">
                  <c:v>724</c:v>
                </c:pt>
                <c:pt idx="187" formatCode="0">
                  <c:v>741</c:v>
                </c:pt>
                <c:pt idx="188" formatCode="0">
                  <c:v>759</c:v>
                </c:pt>
                <c:pt idx="189" formatCode="0">
                  <c:v>776</c:v>
                </c:pt>
                <c:pt idx="190" formatCode="0">
                  <c:v>794</c:v>
                </c:pt>
                <c:pt idx="191" formatCode="0">
                  <c:v>813</c:v>
                </c:pt>
                <c:pt idx="192" formatCode="0">
                  <c:v>832</c:v>
                </c:pt>
                <c:pt idx="193" formatCode="0">
                  <c:v>851</c:v>
                </c:pt>
                <c:pt idx="194" formatCode="0">
                  <c:v>871</c:v>
                </c:pt>
                <c:pt idx="195" formatCode="0">
                  <c:v>891</c:v>
                </c:pt>
                <c:pt idx="196" formatCode="0">
                  <c:v>912</c:v>
                </c:pt>
                <c:pt idx="197" formatCode="0">
                  <c:v>933</c:v>
                </c:pt>
                <c:pt idx="198" formatCode="0">
                  <c:v>955</c:v>
                </c:pt>
                <c:pt idx="199" formatCode="0">
                  <c:v>977</c:v>
                </c:pt>
                <c:pt idx="200" formatCode="0">
                  <c:v>1000</c:v>
                </c:pt>
              </c:numCache>
            </c:numRef>
          </c:xVal>
          <c:yVal>
            <c:numRef>
              <c:f>Calculations!$Z$11:$Z$211</c:f>
              <c:numCache>
                <c:formatCode>0.0</c:formatCode>
                <c:ptCount val="201"/>
                <c:pt idx="0">
                  <c:v>8.4745468225015035</c:v>
                </c:pt>
                <c:pt idx="1">
                  <c:v>8.6439814299485445</c:v>
                </c:pt>
                <c:pt idx="2">
                  <c:v>8.8981016247770715</c:v>
                </c:pt>
                <c:pt idx="3">
                  <c:v>9.0674896109390559</c:v>
                </c:pt>
                <c:pt idx="4">
                  <c:v>9.3215247297696351</c:v>
                </c:pt>
                <c:pt idx="5">
                  <c:v>9.4908443965295586</c:v>
                </c:pt>
                <c:pt idx="6">
                  <c:v>9.7447567287422263</c:v>
                </c:pt>
                <c:pt idx="7">
                  <c:v>9.913979099923603</c:v>
                </c:pt>
                <c:pt idx="8">
                  <c:v>10.167718690236773</c:v>
                </c:pt>
                <c:pt idx="9">
                  <c:v>10.421324448665288</c:v>
                </c:pt>
                <c:pt idx="10">
                  <c:v>10.674769072143617</c:v>
                </c:pt>
                <c:pt idx="11">
                  <c:v>10.928020857985521</c:v>
                </c:pt>
                <c:pt idx="12">
                  <c:v>11.181043147997036</c:v>
                </c:pt>
                <c:pt idx="13">
                  <c:v>11.433793721191112</c:v>
                </c:pt>
                <c:pt idx="14">
                  <c:v>11.686224132662558</c:v>
                </c:pt>
                <c:pt idx="15">
                  <c:v>11.938278996430137</c:v>
                </c:pt>
                <c:pt idx="16">
                  <c:v>12.273657682770695</c:v>
                </c:pt>
                <c:pt idx="17">
                  <c:v>12.524575965384322</c:v>
                </c:pt>
                <c:pt idx="18">
                  <c:v>12.774873553900861</c:v>
                </c:pt>
                <c:pt idx="19">
                  <c:v>13.107471956166886</c:v>
                </c:pt>
                <c:pt idx="20">
                  <c:v>13.355930604986158</c:v>
                </c:pt>
                <c:pt idx="21">
                  <c:v>13.685652081742818</c:v>
                </c:pt>
                <c:pt idx="22">
                  <c:v>14.013284628665147</c:v>
                </c:pt>
                <c:pt idx="23">
                  <c:v>14.33844260425254</c:v>
                </c:pt>
                <c:pt idx="24">
                  <c:v>14.660684516404325</c:v>
                </c:pt>
                <c:pt idx="25">
                  <c:v>14.97950765647527</c:v>
                </c:pt>
                <c:pt idx="26">
                  <c:v>15.294342761483509</c:v>
                </c:pt>
                <c:pt idx="27">
                  <c:v>15.604548859141401</c:v>
                </c:pt>
                <c:pt idx="28">
                  <c:v>15.984696304711662</c:v>
                </c:pt>
                <c:pt idx="29">
                  <c:v>16.281740716490432</c:v>
                </c:pt>
                <c:pt idx="30">
                  <c:v>16.642722017396711</c:v>
                </c:pt>
                <c:pt idx="31">
                  <c:v>16.922028288504588</c:v>
                </c:pt>
                <c:pt idx="32">
                  <c:v>17.257512409749403</c:v>
                </c:pt>
                <c:pt idx="33">
                  <c:v>17.575651600354625</c:v>
                </c:pt>
                <c:pt idx="34">
                  <c:v>17.873934419301701</c:v>
                </c:pt>
                <c:pt idx="35">
                  <c:v>18.149692068948823</c:v>
                </c:pt>
                <c:pt idx="36">
                  <c:v>18.400140391578585</c:v>
                </c:pt>
                <c:pt idx="37">
                  <c:v>18.622436093383087</c:v>
                </c:pt>
                <c:pt idx="38">
                  <c:v>18.848047794144097</c:v>
                </c:pt>
                <c:pt idx="39">
                  <c:v>18.99857972419391</c:v>
                </c:pt>
                <c:pt idx="40">
                  <c:v>19.130512701708792</c:v>
                </c:pt>
                <c:pt idx="41">
                  <c:v>19.205838700520069</c:v>
                </c:pt>
                <c:pt idx="42">
                  <c:v>19.221741121861434</c:v>
                </c:pt>
                <c:pt idx="43">
                  <c:v>19.176515267441495</c:v>
                </c:pt>
                <c:pt idx="44">
                  <c:v>19.069736871230752</c:v>
                </c:pt>
                <c:pt idx="45">
                  <c:v>18.8687110291016</c:v>
                </c:pt>
                <c:pt idx="46">
                  <c:v>18.633662915334082</c:v>
                </c:pt>
                <c:pt idx="47">
                  <c:v>18.291599998869433</c:v>
                </c:pt>
                <c:pt idx="48">
                  <c:v>17.884059106198031</c:v>
                </c:pt>
                <c:pt idx="49">
                  <c:v>17.420393367565815</c:v>
                </c:pt>
                <c:pt idx="50">
                  <c:v>16.910805160416004</c:v>
                </c:pt>
                <c:pt idx="51">
                  <c:v>16.285576121914822</c:v>
                </c:pt>
                <c:pt idx="52">
                  <c:v>15.712359714190283</c:v>
                </c:pt>
                <c:pt idx="53">
                  <c:v>15.039861437658281</c:v>
                </c:pt>
                <c:pt idx="54">
                  <c:v>14.360481687040654</c:v>
                </c:pt>
                <c:pt idx="55">
                  <c:v>13.684447005897516</c:v>
                </c:pt>
                <c:pt idx="56">
                  <c:v>13.019934630234836</c:v>
                </c:pt>
                <c:pt idx="57">
                  <c:v>12.293842762398238</c:v>
                </c:pt>
                <c:pt idx="58">
                  <c:v>11.672439695014917</c:v>
                </c:pt>
                <c:pt idx="59">
                  <c:v>11.004161105625165</c:v>
                </c:pt>
                <c:pt idx="60">
                  <c:v>10.370786902608506</c:v>
                </c:pt>
                <c:pt idx="61">
                  <c:v>9.7733289989709267</c:v>
                </c:pt>
                <c:pt idx="62">
                  <c:v>9.1515462763935886</c:v>
                </c:pt>
                <c:pt idx="63">
                  <c:v>8.5729565944873229</c:v>
                </c:pt>
                <c:pt idx="64">
                  <c:v>8.0357407458843682</c:v>
                </c:pt>
                <c:pt idx="65">
                  <c:v>7.5376478210181022</c:v>
                </c:pt>
                <c:pt idx="66">
                  <c:v>7.076206462603313</c:v>
                </c:pt>
                <c:pt idx="67">
                  <c:v>6.6079157144836547</c:v>
                </c:pt>
                <c:pt idx="68">
                  <c:v>6.1775433326314193</c:v>
                </c:pt>
                <c:pt idx="69">
                  <c:v>5.7818711443405668</c:v>
                </c:pt>
                <c:pt idx="70">
                  <c:v>5.4178698918473946</c:v>
                </c:pt>
                <c:pt idx="71">
                  <c:v>5.0535995570232064</c:v>
                </c:pt>
                <c:pt idx="72">
                  <c:v>4.7203334246117565</c:v>
                </c:pt>
                <c:pt idx="73">
                  <c:v>4.4150432083876243</c:v>
                </c:pt>
                <c:pt idx="74">
                  <c:v>4.1127252156384575</c:v>
                </c:pt>
                <c:pt idx="75">
                  <c:v>3.8572798580039462</c:v>
                </c:pt>
                <c:pt idx="76">
                  <c:v>3.6035434373361155</c:v>
                </c:pt>
                <c:pt idx="77">
                  <c:v>3.3542945724724644</c:v>
                </c:pt>
                <c:pt idx="78">
                  <c:v>3.1272986969224288</c:v>
                </c:pt>
                <c:pt idx="79">
                  <c:v>2.9201735145920504</c:v>
                </c:pt>
                <c:pt idx="80">
                  <c:v>2.730825315728088</c:v>
                </c:pt>
                <c:pt idx="81">
                  <c:v>2.545590757466305</c:v>
                </c:pt>
                <c:pt idx="82">
                  <c:v>2.3766632063348316</c:v>
                </c:pt>
                <c:pt idx="83">
                  <c:v>2.2223028458672234</c:v>
                </c:pt>
                <c:pt idx="84">
                  <c:v>2.0719929550702605</c:v>
                </c:pt>
                <c:pt idx="85">
                  <c:v>1.9349039542995963</c:v>
                </c:pt>
                <c:pt idx="86">
                  <c:v>1.8096209835505086</c:v>
                </c:pt>
                <c:pt idx="87">
                  <c:v>1.6880609627119718</c:v>
                </c:pt>
                <c:pt idx="88">
                  <c:v>1.5709141591267104</c:v>
                </c:pt>
                <c:pt idx="89">
                  <c:v>1.4700110906277617</c:v>
                </c:pt>
                <c:pt idx="90">
                  <c:v>1.3723647923550375</c:v>
                </c:pt>
                <c:pt idx="91">
                  <c:v>1.2784455353611723</c:v>
                </c:pt>
                <c:pt idx="92">
                  <c:v>1.1928983435541312</c:v>
                </c:pt>
                <c:pt idx="93">
                  <c:v>1.1148120367396224</c:v>
                </c:pt>
                <c:pt idx="94">
                  <c:v>1.0398036880999535</c:v>
                </c:pt>
                <c:pt idx="95">
                  <c:v>0.97137349882320811</c:v>
                </c:pt>
                <c:pt idx="96">
                  <c:v>0.90583136185359725</c:v>
                </c:pt>
                <c:pt idx="97">
                  <c:v>0.84605382018884012</c:v>
                </c:pt>
                <c:pt idx="98">
                  <c:v>0.78893840971768758</c:v>
                </c:pt>
                <c:pt idx="99">
                  <c:v>0.73684937542524165</c:v>
                </c:pt>
                <c:pt idx="100">
                  <c:v>0.68718084254793477</c:v>
                </c:pt>
                <c:pt idx="101">
                  <c:v>0.64755601778519101</c:v>
                </c:pt>
                <c:pt idx="102">
                  <c:v>0.59363455259843967</c:v>
                </c:pt>
                <c:pt idx="103">
                  <c:v>0.56097214618913216</c:v>
                </c:pt>
                <c:pt idx="104">
                  <c:v>0.51632385252900037</c:v>
                </c:pt>
                <c:pt idx="105">
                  <c:v>0.48915987752316314</c:v>
                </c:pt>
                <c:pt idx="106">
                  <c:v>0.45187446931909886</c:v>
                </c:pt>
                <c:pt idx="107">
                  <c:v>0.42909919975785404</c:v>
                </c:pt>
                <c:pt idx="108">
                  <c:v>0.39771967366086303</c:v>
                </c:pt>
                <c:pt idx="109">
                  <c:v>0.36932656951117004</c:v>
                </c:pt>
                <c:pt idx="110">
                  <c:v>0.34357292465497974</c:v>
                </c:pt>
                <c:pt idx="111">
                  <c:v>0.32015904064296929</c:v>
                </c:pt>
                <c:pt idx="112">
                  <c:v>0.29882514038310826</c:v>
                </c:pt>
                <c:pt idx="113">
                  <c:v>0.2793453002633518</c:v>
                </c:pt>
                <c:pt idx="114">
                  <c:v>0.26152241360394124</c:v>
                </c:pt>
                <c:pt idx="115">
                  <c:v>0.24518399242090749</c:v>
                </c:pt>
                <c:pt idx="116">
                  <c:v>0.22544961446506287</c:v>
                </c:pt>
                <c:pt idx="117">
                  <c:v>0.21201724383511109</c:v>
                </c:pt>
                <c:pt idx="118">
                  <c:v>0.19963107729905161</c:v>
                </c:pt>
                <c:pt idx="119">
                  <c:v>0.18457259249469216</c:v>
                </c:pt>
                <c:pt idx="120">
                  <c:v>0.17425825927886734</c:v>
                </c:pt>
                <c:pt idx="121">
                  <c:v>0.1616674152730489</c:v>
                </c:pt>
                <c:pt idx="122">
                  <c:v>0.15026089740640666</c:v>
                </c:pt>
                <c:pt idx="123">
                  <c:v>0.13990266860397765</c:v>
                </c:pt>
                <c:pt idx="124">
                  <c:v>0.13047501980152829</c:v>
                </c:pt>
                <c:pt idx="125">
                  <c:v>0.12187575265939384</c:v>
                </c:pt>
                <c:pt idx="126">
                  <c:v>0.114015846513733</c:v>
                </c:pt>
                <c:pt idx="127">
                  <c:v>0.10681751791016252</c:v>
                </c:pt>
                <c:pt idx="128">
                  <c:v>9.8646905927417733E-2</c:v>
                </c:pt>
                <c:pt idx="129">
                  <c:v>9.2700359885365458E-2</c:v>
                </c:pt>
                <c:pt idx="130">
                  <c:v>8.5920587265480811E-2</c:v>
                </c:pt>
                <c:pt idx="131">
                  <c:v>8.0965163479030322E-2</c:v>
                </c:pt>
                <c:pt idx="132">
                  <c:v>7.5292474647622273E-2</c:v>
                </c:pt>
                <c:pt idx="133">
                  <c:v>7.0137571384793096E-2</c:v>
                </c:pt>
                <c:pt idx="134">
                  <c:v>6.5442699743367347E-2</c:v>
                </c:pt>
                <c:pt idx="135">
                  <c:v>6.1157666690878021E-2</c:v>
                </c:pt>
                <c:pt idx="136">
                  <c:v>5.7238710046254387E-2</c:v>
                </c:pt>
                <c:pt idx="137">
                  <c:v>5.3647557394979062E-2</c:v>
                </c:pt>
                <c:pt idx="138">
                  <c:v>4.972390067613585E-2</c:v>
                </c:pt>
                <c:pt idx="139">
                  <c:v>4.6741403151109445E-2</c:v>
                </c:pt>
                <c:pt idx="140">
                  <c:v>4.3469040257864702E-2</c:v>
                </c:pt>
                <c:pt idx="141">
                  <c:v>4.0495147129406314E-2</c:v>
                </c:pt>
                <c:pt idx="142">
                  <c:v>3.7786456396913137E-2</c:v>
                </c:pt>
                <c:pt idx="143">
                  <c:v>3.5314052859042835E-2</c:v>
                </c:pt>
                <c:pt idx="144">
                  <c:v>3.3052723447504921E-2</c:v>
                </c:pt>
                <c:pt idx="145">
                  <c:v>3.0652014143730824E-2</c:v>
                </c:pt>
                <c:pt idx="146">
                  <c:v>2.8775951213894584E-2</c:v>
                </c:pt>
                <c:pt idx="147">
                  <c:v>2.6775771166850034E-2</c:v>
                </c:pt>
                <c:pt idx="148">
                  <c:v>2.4956750143413239E-2</c:v>
                </c:pt>
                <c:pt idx="149">
                  <c:v>2.3298834232967219E-2</c:v>
                </c:pt>
                <c:pt idx="150">
                  <c:v>2.1784575517214435E-2</c:v>
                </c:pt>
                <c:pt idx="151">
                  <c:v>2.0210454792073736E-2</c:v>
                </c:pt>
                <c:pt idx="152">
                  <c:v>1.8955173445856829E-2</c:v>
                </c:pt>
                <c:pt idx="153">
                  <c:v>1.7644661030669702E-2</c:v>
                </c:pt>
                <c:pt idx="154">
                  <c:v>1.6452224035766041E-2</c:v>
                </c:pt>
                <c:pt idx="155">
                  <c:v>1.5364858455136087E-2</c:v>
                </c:pt>
                <c:pt idx="156">
                  <c:v>1.4371241711980863E-2</c:v>
                </c:pt>
                <c:pt idx="157">
                  <c:v>1.3353217488861348E-2</c:v>
                </c:pt>
                <c:pt idx="158">
                  <c:v>1.2527500491787993E-2</c:v>
                </c:pt>
                <c:pt idx="159">
                  <c:v>1.1677958178377253E-2</c:v>
                </c:pt>
                <c:pt idx="160">
                  <c:v>1.0903526197060786E-2</c:v>
                </c:pt>
                <c:pt idx="161">
                  <c:v>1.0196083830591838E-2</c:v>
                </c:pt>
                <c:pt idx="162">
                  <c:v>9.480012586965866E-3</c:v>
                </c:pt>
                <c:pt idx="163">
                  <c:v>8.829454569326373E-3</c:v>
                </c:pt>
                <c:pt idx="164">
                  <c:v>8.2370857010361075E-3</c:v>
                </c:pt>
                <c:pt idx="165">
                  <c:v>7.6965428953865139E-3</c:v>
                </c:pt>
                <c:pt idx="166">
                  <c:v>7.202280108639522E-3</c:v>
                </c:pt>
                <c:pt idx="167">
                  <c:v>6.7062756846675998E-3</c:v>
                </c:pt>
                <c:pt idx="168">
                  <c:v>6.2547902648897079E-3</c:v>
                </c:pt>
                <c:pt idx="169">
                  <c:v>5.8429391008920153E-3</c:v>
                </c:pt>
                <c:pt idx="170">
                  <c:v>5.4664667455335166E-3</c:v>
                </c:pt>
                <c:pt idx="171">
                  <c:v>5.0917618917150293E-3</c:v>
                </c:pt>
                <c:pt idx="172">
                  <c:v>4.7505352532684194E-3</c:v>
                </c:pt>
                <c:pt idx="173">
                  <c:v>4.4391299045686543E-3</c:v>
                </c:pt>
                <c:pt idx="174">
                  <c:v>4.1317392073969023E-3</c:v>
                </c:pt>
                <c:pt idx="175">
                  <c:v>3.8726856483256491E-3</c:v>
                </c:pt>
                <c:pt idx="176">
                  <c:v>3.6159122682304047E-3</c:v>
                </c:pt>
                <c:pt idx="177">
                  <c:v>3.3641531734510529E-3</c:v>
                </c:pt>
                <c:pt idx="178">
                  <c:v>3.1352337158028834E-3</c:v>
                </c:pt>
                <c:pt idx="179">
                  <c:v>2.9266215246285185E-3</c:v>
                </c:pt>
                <c:pt idx="180">
                  <c:v>2.7361138288378496E-3</c:v>
                </c:pt>
                <c:pt idx="181">
                  <c:v>2.5499101005938408E-3</c:v>
                </c:pt>
                <c:pt idx="182">
                  <c:v>2.3802261205544753E-3</c:v>
                </c:pt>
                <c:pt idx="183">
                  <c:v>2.2252697703868821E-3</c:v>
                </c:pt>
                <c:pt idx="184">
                  <c:v>2.0744579348847335E-3</c:v>
                </c:pt>
                <c:pt idx="185">
                  <c:v>1.9369717757207548E-3</c:v>
                </c:pt>
                <c:pt idx="186">
                  <c:v>1.8113714013539375E-3</c:v>
                </c:pt>
                <c:pt idx="187">
                  <c:v>1.6895409403968177E-3</c:v>
                </c:pt>
                <c:pt idx="188">
                  <c:v>1.5721651059974419E-3</c:v>
                </c:pt>
                <c:pt idx="189">
                  <c:v>1.4710872701785809E-3</c:v>
                </c:pt>
                <c:pt idx="190">
                  <c:v>1.3732898595436309E-3</c:v>
                </c:pt>
                <c:pt idx="191">
                  <c:v>1.2792405021173616E-3</c:v>
                </c:pt>
                <c:pt idx="192">
                  <c:v>1.1935866938557629E-3</c:v>
                </c:pt>
                <c:pt idx="193">
                  <c:v>1.1154121465636595E-3</c:v>
                </c:pt>
                <c:pt idx="194">
                  <c:v>1.0403265575025693E-3</c:v>
                </c:pt>
                <c:pt idx="195">
                  <c:v>9.718318588027077E-4</c:v>
                </c:pt>
                <c:pt idx="196">
                  <c:v>9.0623289250675761E-4</c:v>
                </c:pt>
                <c:pt idx="197">
                  <c:v>8.4640747633453939E-4</c:v>
                </c:pt>
                <c:pt idx="198">
                  <c:v>7.8924963786135001E-4</c:v>
                </c:pt>
                <c:pt idx="199">
                  <c:v>7.3712457986659769E-4</c:v>
                </c:pt>
                <c:pt idx="200">
                  <c:v>6.8742395301065113E-4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98D-43BD-B51E-0FDD565CBA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21871"/>
        <c:axId val="13213135"/>
      </c:scatterChart>
      <c:valAx>
        <c:axId val="9226208"/>
        <c:scaling>
          <c:logBase val="10"/>
          <c:orientation val="minMax"/>
          <c:max val="1000"/>
          <c:min val="10"/>
        </c:scaling>
        <c:delete val="0"/>
        <c:axPos val="b"/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 [Hz]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4051936"/>
        <c:crosses val="autoZero"/>
        <c:crossBetween val="midCat"/>
      </c:valAx>
      <c:valAx>
        <c:axId val="1924051936"/>
        <c:scaling>
          <c:logBase val="10"/>
          <c:orientation val="minMax"/>
          <c:max val="10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Driver Displacement 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6208"/>
        <c:crosses val="autoZero"/>
        <c:crossBetween val="midCat"/>
      </c:valAx>
      <c:valAx>
        <c:axId val="13213135"/>
        <c:scaling>
          <c:logBase val="10"/>
          <c:orientation val="minMax"/>
          <c:max val="100"/>
          <c:min val="1.0000000000000002E-2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Port Velocity  [m/s]</a:t>
                </a:r>
              </a:p>
            </c:rich>
          </c:tx>
          <c:layout>
            <c:manualLayout>
              <c:xMode val="edge"/>
              <c:yMode val="edge"/>
              <c:x val="0.94839481870321762"/>
              <c:y val="0.4082497139780604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21871"/>
        <c:crosses val="max"/>
        <c:crossBetween val="midCat"/>
      </c:valAx>
      <c:valAx>
        <c:axId val="13221871"/>
        <c:scaling>
          <c:logBase val="10"/>
          <c:orientation val="minMax"/>
        </c:scaling>
        <c:delete val="1"/>
        <c:axPos val="b"/>
        <c:numFmt formatCode="0.0" sourceLinked="1"/>
        <c:majorTickMark val="out"/>
        <c:minorTickMark val="none"/>
        <c:tickLblPos val="nextTo"/>
        <c:crossAx val="132131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2357255861649652"/>
          <c:y val="0.93616427754223031"/>
          <c:w val="0.15921332750072908"/>
          <c:h val="3.60579446799919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1" l="1" r="1" t="1" header="0" footer="0"/>
    <c:pageSetup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Displacement Phase Response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Driver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Calculations!$B$11:$B$211</c:f>
              <c:numCache>
                <c:formatCode>0.0</c:formatCode>
                <c:ptCount val="201"/>
                <c:pt idx="0">
                  <c:v>10</c:v>
                </c:pt>
                <c:pt idx="1">
                  <c:v>10.199999999999999</c:v>
                </c:pt>
                <c:pt idx="2">
                  <c:v>10.5</c:v>
                </c:pt>
                <c:pt idx="3">
                  <c:v>10.7</c:v>
                </c:pt>
                <c:pt idx="4">
                  <c:v>11</c:v>
                </c:pt>
                <c:pt idx="5">
                  <c:v>11.2</c:v>
                </c:pt>
                <c:pt idx="6">
                  <c:v>11.5</c:v>
                </c:pt>
                <c:pt idx="7">
                  <c:v>11.7</c:v>
                </c:pt>
                <c:pt idx="8">
                  <c:v>12</c:v>
                </c:pt>
                <c:pt idx="9">
                  <c:v>12.3</c:v>
                </c:pt>
                <c:pt idx="10">
                  <c:v>12.6</c:v>
                </c:pt>
                <c:pt idx="11">
                  <c:v>12.9</c:v>
                </c:pt>
                <c:pt idx="12">
                  <c:v>13.2</c:v>
                </c:pt>
                <c:pt idx="13">
                  <c:v>13.5</c:v>
                </c:pt>
                <c:pt idx="14">
                  <c:v>13.8</c:v>
                </c:pt>
                <c:pt idx="15">
                  <c:v>14.1</c:v>
                </c:pt>
                <c:pt idx="16">
                  <c:v>14.5</c:v>
                </c:pt>
                <c:pt idx="17">
                  <c:v>14.8</c:v>
                </c:pt>
                <c:pt idx="18">
                  <c:v>15.1</c:v>
                </c:pt>
                <c:pt idx="19">
                  <c:v>15.5</c:v>
                </c:pt>
                <c:pt idx="20">
                  <c:v>15.8</c:v>
                </c:pt>
                <c:pt idx="21">
                  <c:v>16.2</c:v>
                </c:pt>
                <c:pt idx="22">
                  <c:v>16.600000000000001</c:v>
                </c:pt>
                <c:pt idx="23">
                  <c:v>17</c:v>
                </c:pt>
                <c:pt idx="24">
                  <c:v>17.399999999999999</c:v>
                </c:pt>
                <c:pt idx="25">
                  <c:v>17.8</c:v>
                </c:pt>
                <c:pt idx="26">
                  <c:v>18.2</c:v>
                </c:pt>
                <c:pt idx="27">
                  <c:v>18.600000000000001</c:v>
                </c:pt>
                <c:pt idx="28">
                  <c:v>19.100000000000001</c:v>
                </c:pt>
                <c:pt idx="29">
                  <c:v>19.5</c:v>
                </c:pt>
                <c:pt idx="30">
                  <c:v>20</c:v>
                </c:pt>
                <c:pt idx="31">
                  <c:v>20.399999999999999</c:v>
                </c:pt>
                <c:pt idx="32">
                  <c:v>20.9</c:v>
                </c:pt>
                <c:pt idx="33">
                  <c:v>21.4</c:v>
                </c:pt>
                <c:pt idx="34">
                  <c:v>21.9</c:v>
                </c:pt>
                <c:pt idx="35">
                  <c:v>22.4</c:v>
                </c:pt>
                <c:pt idx="36">
                  <c:v>22.9</c:v>
                </c:pt>
                <c:pt idx="37">
                  <c:v>23.4</c:v>
                </c:pt>
                <c:pt idx="38">
                  <c:v>24</c:v>
                </c:pt>
                <c:pt idx="39">
                  <c:v>24.5</c:v>
                </c:pt>
                <c:pt idx="40">
                  <c:v>25.1</c:v>
                </c:pt>
                <c:pt idx="41">
                  <c:v>25.7</c:v>
                </c:pt>
                <c:pt idx="42">
                  <c:v>26.3</c:v>
                </c:pt>
                <c:pt idx="43">
                  <c:v>26.9</c:v>
                </c:pt>
                <c:pt idx="44">
                  <c:v>27.5</c:v>
                </c:pt>
                <c:pt idx="45">
                  <c:v>28.2</c:v>
                </c:pt>
                <c:pt idx="46">
                  <c:v>28.8</c:v>
                </c:pt>
                <c:pt idx="47">
                  <c:v>29.5</c:v>
                </c:pt>
                <c:pt idx="48">
                  <c:v>30.2</c:v>
                </c:pt>
                <c:pt idx="49">
                  <c:v>30.9</c:v>
                </c:pt>
                <c:pt idx="50">
                  <c:v>31.6</c:v>
                </c:pt>
                <c:pt idx="51">
                  <c:v>32.4</c:v>
                </c:pt>
                <c:pt idx="52">
                  <c:v>33.1</c:v>
                </c:pt>
                <c:pt idx="53">
                  <c:v>33.9</c:v>
                </c:pt>
                <c:pt idx="54">
                  <c:v>34.700000000000003</c:v>
                </c:pt>
                <c:pt idx="55">
                  <c:v>35.5</c:v>
                </c:pt>
                <c:pt idx="56">
                  <c:v>36.299999999999997</c:v>
                </c:pt>
                <c:pt idx="57">
                  <c:v>37.200000000000003</c:v>
                </c:pt>
                <c:pt idx="58">
                  <c:v>38</c:v>
                </c:pt>
                <c:pt idx="59">
                  <c:v>38.9</c:v>
                </c:pt>
                <c:pt idx="60">
                  <c:v>39.799999999999997</c:v>
                </c:pt>
                <c:pt idx="61">
                  <c:v>40.700000000000003</c:v>
                </c:pt>
                <c:pt idx="62">
                  <c:v>41.7</c:v>
                </c:pt>
                <c:pt idx="63">
                  <c:v>42.7</c:v>
                </c:pt>
                <c:pt idx="64">
                  <c:v>43.7</c:v>
                </c:pt>
                <c:pt idx="65">
                  <c:v>44.7</c:v>
                </c:pt>
                <c:pt idx="66">
                  <c:v>45.7</c:v>
                </c:pt>
                <c:pt idx="67">
                  <c:v>46.8</c:v>
                </c:pt>
                <c:pt idx="68">
                  <c:v>47.9</c:v>
                </c:pt>
                <c:pt idx="69">
                  <c:v>49</c:v>
                </c:pt>
                <c:pt idx="70">
                  <c:v>50.1</c:v>
                </c:pt>
                <c:pt idx="71">
                  <c:v>51.3</c:v>
                </c:pt>
                <c:pt idx="72">
                  <c:v>52.5</c:v>
                </c:pt>
                <c:pt idx="73">
                  <c:v>53.7</c:v>
                </c:pt>
                <c:pt idx="74">
                  <c:v>55</c:v>
                </c:pt>
                <c:pt idx="75">
                  <c:v>56.2</c:v>
                </c:pt>
                <c:pt idx="76">
                  <c:v>57.5</c:v>
                </c:pt>
                <c:pt idx="77">
                  <c:v>58.9</c:v>
                </c:pt>
                <c:pt idx="78">
                  <c:v>60.3</c:v>
                </c:pt>
                <c:pt idx="79">
                  <c:v>61.7</c:v>
                </c:pt>
                <c:pt idx="80">
                  <c:v>63.1</c:v>
                </c:pt>
                <c:pt idx="81">
                  <c:v>64.599999999999994</c:v>
                </c:pt>
                <c:pt idx="82">
                  <c:v>66.099999999999994</c:v>
                </c:pt>
                <c:pt idx="83">
                  <c:v>67.599999999999994</c:v>
                </c:pt>
                <c:pt idx="84">
                  <c:v>69.2</c:v>
                </c:pt>
                <c:pt idx="85">
                  <c:v>70.8</c:v>
                </c:pt>
                <c:pt idx="86">
                  <c:v>72.400000000000006</c:v>
                </c:pt>
                <c:pt idx="87">
                  <c:v>74.099999999999994</c:v>
                </c:pt>
                <c:pt idx="88">
                  <c:v>75.900000000000006</c:v>
                </c:pt>
                <c:pt idx="89">
                  <c:v>77.599999999999994</c:v>
                </c:pt>
                <c:pt idx="90">
                  <c:v>79.400000000000006</c:v>
                </c:pt>
                <c:pt idx="91">
                  <c:v>81.3</c:v>
                </c:pt>
                <c:pt idx="92">
                  <c:v>83.2</c:v>
                </c:pt>
                <c:pt idx="93">
                  <c:v>85.1</c:v>
                </c:pt>
                <c:pt idx="94">
                  <c:v>87.1</c:v>
                </c:pt>
                <c:pt idx="95">
                  <c:v>89.1</c:v>
                </c:pt>
                <c:pt idx="96">
                  <c:v>91.2</c:v>
                </c:pt>
                <c:pt idx="97">
                  <c:v>93.3</c:v>
                </c:pt>
                <c:pt idx="98">
                  <c:v>95.5</c:v>
                </c:pt>
                <c:pt idx="99">
                  <c:v>97.7</c:v>
                </c:pt>
                <c:pt idx="100" formatCode="0">
                  <c:v>100</c:v>
                </c:pt>
                <c:pt idx="101" formatCode="0">
                  <c:v>102</c:v>
                </c:pt>
                <c:pt idx="102" formatCode="0">
                  <c:v>105</c:v>
                </c:pt>
                <c:pt idx="103" formatCode="0">
                  <c:v>107</c:v>
                </c:pt>
                <c:pt idx="104" formatCode="0">
                  <c:v>110</c:v>
                </c:pt>
                <c:pt idx="105" formatCode="0">
                  <c:v>112</c:v>
                </c:pt>
                <c:pt idx="106" formatCode="0">
                  <c:v>115</c:v>
                </c:pt>
                <c:pt idx="107" formatCode="0">
                  <c:v>117</c:v>
                </c:pt>
                <c:pt idx="108" formatCode="0">
                  <c:v>120</c:v>
                </c:pt>
                <c:pt idx="109" formatCode="0">
                  <c:v>123</c:v>
                </c:pt>
                <c:pt idx="110" formatCode="0">
                  <c:v>126</c:v>
                </c:pt>
                <c:pt idx="111" formatCode="0">
                  <c:v>129</c:v>
                </c:pt>
                <c:pt idx="112" formatCode="0">
                  <c:v>132</c:v>
                </c:pt>
                <c:pt idx="113" formatCode="0">
                  <c:v>135</c:v>
                </c:pt>
                <c:pt idx="114" formatCode="0">
                  <c:v>138</c:v>
                </c:pt>
                <c:pt idx="115" formatCode="0">
                  <c:v>141</c:v>
                </c:pt>
                <c:pt idx="116" formatCode="0">
                  <c:v>145</c:v>
                </c:pt>
                <c:pt idx="117" formatCode="0">
                  <c:v>148</c:v>
                </c:pt>
                <c:pt idx="118" formatCode="0">
                  <c:v>151</c:v>
                </c:pt>
                <c:pt idx="119" formatCode="0">
                  <c:v>155</c:v>
                </c:pt>
                <c:pt idx="120" formatCode="0">
                  <c:v>158</c:v>
                </c:pt>
                <c:pt idx="121" formatCode="0">
                  <c:v>162</c:v>
                </c:pt>
                <c:pt idx="122" formatCode="0">
                  <c:v>166</c:v>
                </c:pt>
                <c:pt idx="123" formatCode="0">
                  <c:v>170</c:v>
                </c:pt>
                <c:pt idx="124" formatCode="0">
                  <c:v>174</c:v>
                </c:pt>
                <c:pt idx="125" formatCode="0">
                  <c:v>178</c:v>
                </c:pt>
                <c:pt idx="126" formatCode="0">
                  <c:v>182</c:v>
                </c:pt>
                <c:pt idx="127" formatCode="0">
                  <c:v>186</c:v>
                </c:pt>
                <c:pt idx="128" formatCode="0">
                  <c:v>191</c:v>
                </c:pt>
                <c:pt idx="129" formatCode="0">
                  <c:v>195</c:v>
                </c:pt>
                <c:pt idx="130" formatCode="0">
                  <c:v>200</c:v>
                </c:pt>
                <c:pt idx="131" formatCode="0">
                  <c:v>204</c:v>
                </c:pt>
                <c:pt idx="132" formatCode="0">
                  <c:v>209</c:v>
                </c:pt>
                <c:pt idx="133" formatCode="0">
                  <c:v>214</c:v>
                </c:pt>
                <c:pt idx="134" formatCode="0">
                  <c:v>219</c:v>
                </c:pt>
                <c:pt idx="135" formatCode="0">
                  <c:v>224</c:v>
                </c:pt>
                <c:pt idx="136" formatCode="0">
                  <c:v>229</c:v>
                </c:pt>
                <c:pt idx="137" formatCode="0">
                  <c:v>234</c:v>
                </c:pt>
                <c:pt idx="138" formatCode="0">
                  <c:v>240</c:v>
                </c:pt>
                <c:pt idx="139" formatCode="0">
                  <c:v>245</c:v>
                </c:pt>
                <c:pt idx="140" formatCode="0">
                  <c:v>251</c:v>
                </c:pt>
                <c:pt idx="141" formatCode="0">
                  <c:v>257</c:v>
                </c:pt>
                <c:pt idx="142" formatCode="0">
                  <c:v>263</c:v>
                </c:pt>
                <c:pt idx="143" formatCode="0">
                  <c:v>269</c:v>
                </c:pt>
                <c:pt idx="144" formatCode="0">
                  <c:v>275</c:v>
                </c:pt>
                <c:pt idx="145" formatCode="0">
                  <c:v>282</c:v>
                </c:pt>
                <c:pt idx="146" formatCode="0">
                  <c:v>288</c:v>
                </c:pt>
                <c:pt idx="147" formatCode="0">
                  <c:v>295</c:v>
                </c:pt>
                <c:pt idx="148" formatCode="0">
                  <c:v>302</c:v>
                </c:pt>
                <c:pt idx="149" formatCode="0">
                  <c:v>309</c:v>
                </c:pt>
                <c:pt idx="150" formatCode="0">
                  <c:v>316</c:v>
                </c:pt>
                <c:pt idx="151" formatCode="0">
                  <c:v>324</c:v>
                </c:pt>
                <c:pt idx="152" formatCode="0">
                  <c:v>331</c:v>
                </c:pt>
                <c:pt idx="153" formatCode="0">
                  <c:v>339</c:v>
                </c:pt>
                <c:pt idx="154" formatCode="0">
                  <c:v>347</c:v>
                </c:pt>
                <c:pt idx="155" formatCode="0">
                  <c:v>355</c:v>
                </c:pt>
                <c:pt idx="156" formatCode="0">
                  <c:v>363</c:v>
                </c:pt>
                <c:pt idx="157" formatCode="0">
                  <c:v>372</c:v>
                </c:pt>
                <c:pt idx="158" formatCode="0">
                  <c:v>380</c:v>
                </c:pt>
                <c:pt idx="159" formatCode="0">
                  <c:v>389</c:v>
                </c:pt>
                <c:pt idx="160" formatCode="0">
                  <c:v>398</c:v>
                </c:pt>
                <c:pt idx="161" formatCode="0">
                  <c:v>407</c:v>
                </c:pt>
                <c:pt idx="162" formatCode="0">
                  <c:v>417</c:v>
                </c:pt>
                <c:pt idx="163" formatCode="0">
                  <c:v>427</c:v>
                </c:pt>
                <c:pt idx="164" formatCode="0">
                  <c:v>437</c:v>
                </c:pt>
                <c:pt idx="165" formatCode="0">
                  <c:v>447</c:v>
                </c:pt>
                <c:pt idx="166" formatCode="0">
                  <c:v>457</c:v>
                </c:pt>
                <c:pt idx="167" formatCode="0">
                  <c:v>468</c:v>
                </c:pt>
                <c:pt idx="168" formatCode="0">
                  <c:v>479</c:v>
                </c:pt>
                <c:pt idx="169" formatCode="0">
                  <c:v>490</c:v>
                </c:pt>
                <c:pt idx="170" formatCode="0">
                  <c:v>501</c:v>
                </c:pt>
                <c:pt idx="171" formatCode="0">
                  <c:v>513</c:v>
                </c:pt>
                <c:pt idx="172" formatCode="0">
                  <c:v>525</c:v>
                </c:pt>
                <c:pt idx="173" formatCode="0">
                  <c:v>537</c:v>
                </c:pt>
                <c:pt idx="174" formatCode="0">
                  <c:v>550</c:v>
                </c:pt>
                <c:pt idx="175" formatCode="0">
                  <c:v>562</c:v>
                </c:pt>
                <c:pt idx="176" formatCode="0">
                  <c:v>575</c:v>
                </c:pt>
                <c:pt idx="177" formatCode="0">
                  <c:v>589</c:v>
                </c:pt>
                <c:pt idx="178" formatCode="0">
                  <c:v>603</c:v>
                </c:pt>
                <c:pt idx="179" formatCode="0">
                  <c:v>617</c:v>
                </c:pt>
                <c:pt idx="180" formatCode="0">
                  <c:v>631</c:v>
                </c:pt>
                <c:pt idx="181" formatCode="0">
                  <c:v>646</c:v>
                </c:pt>
                <c:pt idx="182" formatCode="0">
                  <c:v>661</c:v>
                </c:pt>
                <c:pt idx="183" formatCode="0">
                  <c:v>676</c:v>
                </c:pt>
                <c:pt idx="184" formatCode="0">
                  <c:v>692</c:v>
                </c:pt>
                <c:pt idx="185" formatCode="0">
                  <c:v>708</c:v>
                </c:pt>
                <c:pt idx="186" formatCode="0">
                  <c:v>724</c:v>
                </c:pt>
                <c:pt idx="187" formatCode="0">
                  <c:v>741</c:v>
                </c:pt>
                <c:pt idx="188" formatCode="0">
                  <c:v>759</c:v>
                </c:pt>
                <c:pt idx="189" formatCode="0">
                  <c:v>776</c:v>
                </c:pt>
                <c:pt idx="190" formatCode="0">
                  <c:v>794</c:v>
                </c:pt>
                <c:pt idx="191" formatCode="0">
                  <c:v>813</c:v>
                </c:pt>
                <c:pt idx="192" formatCode="0">
                  <c:v>832</c:v>
                </c:pt>
                <c:pt idx="193" formatCode="0">
                  <c:v>851</c:v>
                </c:pt>
                <c:pt idx="194" formatCode="0">
                  <c:v>871</c:v>
                </c:pt>
                <c:pt idx="195" formatCode="0">
                  <c:v>891</c:v>
                </c:pt>
                <c:pt idx="196" formatCode="0">
                  <c:v>912</c:v>
                </c:pt>
                <c:pt idx="197" formatCode="0">
                  <c:v>933</c:v>
                </c:pt>
                <c:pt idx="198" formatCode="0">
                  <c:v>955</c:v>
                </c:pt>
                <c:pt idx="199" formatCode="0">
                  <c:v>977</c:v>
                </c:pt>
                <c:pt idx="200" formatCode="0">
                  <c:v>1000</c:v>
                </c:pt>
              </c:numCache>
            </c:numRef>
          </c:xVal>
          <c:yVal>
            <c:numRef>
              <c:f>Calculations!$I$11:$I$211</c:f>
              <c:numCache>
                <c:formatCode>0.0</c:formatCode>
                <c:ptCount val="201"/>
                <c:pt idx="0">
                  <c:v>-47.631364420614602</c:v>
                </c:pt>
                <c:pt idx="1">
                  <c:v>-48.605087945993063</c:v>
                </c:pt>
                <c:pt idx="2">
                  <c:v>-50.068228936409625</c:v>
                </c:pt>
                <c:pt idx="3">
                  <c:v>-51.045413762471647</c:v>
                </c:pt>
                <c:pt idx="4">
                  <c:v>-52.513920609807876</c:v>
                </c:pt>
                <c:pt idx="5">
                  <c:v>-53.494800050607587</c:v>
                </c:pt>
                <c:pt idx="6">
                  <c:v>-54.96902701212489</c:v>
                </c:pt>
                <c:pt idx="7">
                  <c:v>-55.953839655781536</c:v>
                </c:pt>
                <c:pt idx="8">
                  <c:v>-57.434147318840445</c:v>
                </c:pt>
                <c:pt idx="9">
                  <c:v>-58.918277607502425</c:v>
                </c:pt>
                <c:pt idx="10">
                  <c:v>-60.40636075869196</c:v>
                </c:pt>
                <c:pt idx="11">
                  <c:v>-61.898525646428808</c:v>
                </c:pt>
                <c:pt idx="12">
                  <c:v>-63.394898713918273</c:v>
                </c:pt>
                <c:pt idx="13">
                  <c:v>-64.89560271069854</c:v>
                </c:pt>
                <c:pt idx="14">
                  <c:v>-66.400755208671328</c:v>
                </c:pt>
                <c:pt idx="15">
                  <c:v>-67.910466867651451</c:v>
                </c:pt>
                <c:pt idx="16">
                  <c:v>-69.930682030665409</c:v>
                </c:pt>
                <c:pt idx="17">
                  <c:v>-71.451407490707723</c:v>
                </c:pt>
                <c:pt idx="18">
                  <c:v>-72.976982665236932</c:v>
                </c:pt>
                <c:pt idx="19">
                  <c:v>-75.018715341722171</c:v>
                </c:pt>
                <c:pt idx="20">
                  <c:v>-76.555773907157302</c:v>
                </c:pt>
                <c:pt idx="21">
                  <c:v>-78.61285398821812</c:v>
                </c:pt>
                <c:pt idx="22">
                  <c:v>-80.678595217304533</c:v>
                </c:pt>
                <c:pt idx="23">
                  <c:v>-82.752762641940805</c:v>
                </c:pt>
                <c:pt idx="24">
                  <c:v>-84.834961980838628</c:v>
                </c:pt>
                <c:pt idx="25">
                  <c:v>-86.924604120307407</c:v>
                </c:pt>
                <c:pt idx="26">
                  <c:v>-89.020863015143107</c:v>
                </c:pt>
                <c:pt idx="27">
                  <c:v>-91.122625790164776</c:v>
                </c:pt>
                <c:pt idx="28">
                  <c:v>-93.755308111579467</c:v>
                </c:pt>
                <c:pt idx="29">
                  <c:v>-95.863478908303961</c:v>
                </c:pt>
                <c:pt idx="30">
                  <c:v>-98.497091493922085</c:v>
                </c:pt>
                <c:pt idx="31">
                  <c:v>-100.59876284324137</c:v>
                </c:pt>
                <c:pt idx="32">
                  <c:v>-103.21258759407097</c:v>
                </c:pt>
                <c:pt idx="33">
                  <c:v>-105.80210038255083</c:v>
                </c:pt>
                <c:pt idx="34">
                  <c:v>-108.35425709867469</c:v>
                </c:pt>
                <c:pt idx="35">
                  <c:v>-110.8523343234594</c:v>
                </c:pt>
                <c:pt idx="36">
                  <c:v>-113.27492131699552</c:v>
                </c:pt>
                <c:pt idx="37">
                  <c:v>-115.59458118434246</c:v>
                </c:pt>
                <c:pt idx="38">
                  <c:v>-118.19195571029152</c:v>
                </c:pt>
                <c:pt idx="39">
                  <c:v>-120.14626484716702</c:v>
                </c:pt>
                <c:pt idx="40">
                  <c:v>-122.14526577371608</c:v>
                </c:pt>
                <c:pt idx="41">
                  <c:v>-123.62577895801036</c:v>
                </c:pt>
                <c:pt idx="42">
                  <c:v>-124.38021129385706</c:v>
                </c:pt>
                <c:pt idx="43">
                  <c:v>-124.11368761580894</c:v>
                </c:pt>
                <c:pt idx="44">
                  <c:v>-122.41159686576934</c:v>
                </c:pt>
                <c:pt idx="45">
                  <c:v>-117.87201386635186</c:v>
                </c:pt>
                <c:pt idx="46">
                  <c:v>-111.11619936225821</c:v>
                </c:pt>
                <c:pt idx="47">
                  <c:v>-99.67210795819534</c:v>
                </c:pt>
                <c:pt idx="48">
                  <c:v>-86.08512845221442</c:v>
                </c:pt>
                <c:pt idx="49">
                  <c:v>-73.763880474428333</c:v>
                </c:pt>
                <c:pt idx="50">
                  <c:v>-64.911772773886966</c:v>
                </c:pt>
                <c:pt idx="51">
                  <c:v>-58.990383491233423</c:v>
                </c:pt>
                <c:pt idx="52">
                  <c:v>-56.47640632333416</c:v>
                </c:pt>
                <c:pt idx="53">
                  <c:v>-55.55929400426993</c:v>
                </c:pt>
                <c:pt idx="54">
                  <c:v>-55.946104212870495</c:v>
                </c:pt>
                <c:pt idx="55">
                  <c:v>-57.125733053219875</c:v>
                </c:pt>
                <c:pt idx="56">
                  <c:v>-58.784867039794229</c:v>
                </c:pt>
                <c:pt idx="57">
                  <c:v>-60.984335519564702</c:v>
                </c:pt>
                <c:pt idx="58">
                  <c:v>-63.101288456659049</c:v>
                </c:pt>
                <c:pt idx="59">
                  <c:v>-65.566034179113686</c:v>
                </c:pt>
                <c:pt idx="60">
                  <c:v>-68.052958662156541</c:v>
                </c:pt>
                <c:pt idx="61">
                  <c:v>-70.518835434466155</c:v>
                </c:pt>
                <c:pt idx="62">
                  <c:v>-73.201961209660226</c:v>
                </c:pt>
                <c:pt idx="63">
                  <c:v>-75.804933690731474</c:v>
                </c:pt>
                <c:pt idx="64">
                  <c:v>-78.316381775448917</c:v>
                </c:pt>
                <c:pt idx="65">
                  <c:v>-80.731256527974551</c:v>
                </c:pt>
                <c:pt idx="66">
                  <c:v>-83.04845444991652</c:v>
                </c:pt>
                <c:pt idx="67">
                  <c:v>-85.486194360369112</c:v>
                </c:pt>
                <c:pt idx="68">
                  <c:v>-87.81117063016255</c:v>
                </c:pt>
                <c:pt idx="69">
                  <c:v>-90.028339384758112</c:v>
                </c:pt>
                <c:pt idx="70">
                  <c:v>-92.143216476966003</c:v>
                </c:pt>
                <c:pt idx="71">
                  <c:v>-94.340385584878817</c:v>
                </c:pt>
                <c:pt idx="72">
                  <c:v>-96.429919040625862</c:v>
                </c:pt>
                <c:pt idx="73">
                  <c:v>-98.418867010954642</c:v>
                </c:pt>
                <c:pt idx="74">
                  <c:v>-100.46777953263688</c:v>
                </c:pt>
                <c:pt idx="75">
                  <c:v>-102.26810317801944</c:v>
                </c:pt>
                <c:pt idx="76">
                  <c:v>-104.12675898178773</c:v>
                </c:pt>
                <c:pt idx="77">
                  <c:v>-106.02927306371149</c:v>
                </c:pt>
                <c:pt idx="78">
                  <c:v>-107.83651447527386</c:v>
                </c:pt>
                <c:pt idx="79">
                  <c:v>-109.55549066746981</c:v>
                </c:pt>
                <c:pt idx="80">
                  <c:v>-111.19256767360422</c:v>
                </c:pt>
                <c:pt idx="81">
                  <c:v>-112.8622577942439</c:v>
                </c:pt>
                <c:pt idx="82">
                  <c:v>-114.45101700474581</c:v>
                </c:pt>
                <c:pt idx="83">
                  <c:v>-115.96468280464934</c:v>
                </c:pt>
                <c:pt idx="84">
                  <c:v>-117.50244157484356</c:v>
                </c:pt>
                <c:pt idx="85">
                  <c:v>-118.96658620437228</c:v>
                </c:pt>
                <c:pt idx="86">
                  <c:v>-120.36237197761542</c:v>
                </c:pt>
                <c:pt idx="87">
                  <c:v>-121.77581227717556</c:v>
                </c:pt>
                <c:pt idx="88">
                  <c:v>-123.19987798309226</c:v>
                </c:pt>
                <c:pt idx="89">
                  <c:v>-124.48124006398103</c:v>
                </c:pt>
                <c:pt idx="90">
                  <c:v>-125.7754319267777</c:v>
                </c:pt>
                <c:pt idx="91">
                  <c:v>-127.07665262966849</c:v>
                </c:pt>
                <c:pt idx="92">
                  <c:v>-128.31599627678219</c:v>
                </c:pt>
                <c:pt idx="93">
                  <c:v>-129.49783814175711</c:v>
                </c:pt>
                <c:pt idx="94">
                  <c:v>-130.68411642115245</c:v>
                </c:pt>
                <c:pt idx="95">
                  <c:v>-131.81526776320987</c:v>
                </c:pt>
                <c:pt idx="96">
                  <c:v>-132.94780347313701</c:v>
                </c:pt>
                <c:pt idx="97">
                  <c:v>-134.02774558098659</c:v>
                </c:pt>
                <c:pt idx="98">
                  <c:v>-135.10664559689104</c:v>
                </c:pt>
                <c:pt idx="99">
                  <c:v>-136.13557421765788</c:v>
                </c:pt>
                <c:pt idx="100">
                  <c:v>-137.16155951312794</c:v>
                </c:pt>
                <c:pt idx="101">
                  <c:v>-138.01514196783981</c:v>
                </c:pt>
                <c:pt idx="102">
                  <c:v>-139.23306645390826</c:v>
                </c:pt>
                <c:pt idx="103">
                  <c:v>-140.00619625718446</c:v>
                </c:pt>
                <c:pt idx="104">
                  <c:v>-141.11202698021941</c:v>
                </c:pt>
                <c:pt idx="105">
                  <c:v>-141.81564857069714</c:v>
                </c:pt>
                <c:pt idx="106">
                  <c:v>-142.82428623037021</c:v>
                </c:pt>
                <c:pt idx="107">
                  <c:v>-143.46743095852176</c:v>
                </c:pt>
                <c:pt idx="108">
                  <c:v>-144.39122938281218</c:v>
                </c:pt>
                <c:pt idx="109">
                  <c:v>-145.26919536003169</c:v>
                </c:pt>
                <c:pt idx="110">
                  <c:v>-146.10467683873995</c:v>
                </c:pt>
                <c:pt idx="111">
                  <c:v>-146.90070151236299</c:v>
                </c:pt>
                <c:pt idx="112">
                  <c:v>-147.66001444886331</c:v>
                </c:pt>
                <c:pt idx="113">
                  <c:v>-148.38511050440778</c:v>
                </c:pt>
                <c:pt idx="114">
                  <c:v>-149.07826235048057</c:v>
                </c:pt>
                <c:pt idx="115">
                  <c:v>-149.7415447956638</c:v>
                </c:pt>
                <c:pt idx="116">
                  <c:v>-150.58271547972817</c:v>
                </c:pt>
                <c:pt idx="117">
                  <c:v>-151.18341322444738</c:v>
                </c:pt>
                <c:pt idx="118">
                  <c:v>-151.75998123246561</c:v>
                </c:pt>
                <c:pt idx="119">
                  <c:v>-152.4936597452967</c:v>
                </c:pt>
                <c:pt idx="120">
                  <c:v>-153.01929746982881</c:v>
                </c:pt>
                <c:pt idx="121">
                  <c:v>-153.68957767376003</c:v>
                </c:pt>
                <c:pt idx="122">
                  <c:v>-154.32726439574949</c:v>
                </c:pt>
                <c:pt idx="123">
                  <c:v>-154.93468543730404</c:v>
                </c:pt>
                <c:pt idx="124">
                  <c:v>-155.51395145055307</c:v>
                </c:pt>
                <c:pt idx="125">
                  <c:v>-156.06698075518153</c:v>
                </c:pt>
                <c:pt idx="126">
                  <c:v>-156.59552081810511</c:v>
                </c:pt>
                <c:pt idx="127">
                  <c:v>-157.10116690950571</c:v>
                </c:pt>
                <c:pt idx="128">
                  <c:v>-157.70324130072461</c:v>
                </c:pt>
                <c:pt idx="129">
                  <c:v>-158.16252739919216</c:v>
                </c:pt>
                <c:pt idx="130">
                  <c:v>-158.71064228246942</c:v>
                </c:pt>
                <c:pt idx="131">
                  <c:v>-159.129675701244</c:v>
                </c:pt>
                <c:pt idx="132">
                  <c:v>-159.6307860606226</c:v>
                </c:pt>
                <c:pt idx="133">
                  <c:v>-160.10835549765056</c:v>
                </c:pt>
                <c:pt idx="134">
                  <c:v>-160.56400754789649</c:v>
                </c:pt>
                <c:pt idx="135">
                  <c:v>-160.99921956556221</c:v>
                </c:pt>
                <c:pt idx="136">
                  <c:v>-161.41533884020637</c:v>
                </c:pt>
                <c:pt idx="137">
                  <c:v>-161.81359662381934</c:v>
                </c:pt>
                <c:pt idx="138">
                  <c:v>-162.26950960027298</c:v>
                </c:pt>
                <c:pt idx="139">
                  <c:v>-162.63231041091248</c:v>
                </c:pt>
                <c:pt idx="140">
                  <c:v>-163.04851860801813</c:v>
                </c:pt>
                <c:pt idx="141">
                  <c:v>-163.44522182586667</c:v>
                </c:pt>
                <c:pt idx="142">
                  <c:v>-163.82376133552799</c:v>
                </c:pt>
                <c:pt idx="143">
                  <c:v>-164.18535805069129</c:v>
                </c:pt>
                <c:pt idx="144">
                  <c:v>-164.53112574609588</c:v>
                </c:pt>
                <c:pt idx="145">
                  <c:v>-164.91586874301078</c:v>
                </c:pt>
                <c:pt idx="146">
                  <c:v>-165.23071938276308</c:v>
                </c:pt>
                <c:pt idx="147">
                  <c:v>-165.58181313676494</c:v>
                </c:pt>
                <c:pt idx="148">
                  <c:v>-165.91658807829617</c:v>
                </c:pt>
                <c:pt idx="149">
                  <c:v>-166.23615703750599</c:v>
                </c:pt>
                <c:pt idx="150">
                  <c:v>-166.54153383083917</c:v>
                </c:pt>
                <c:pt idx="151">
                  <c:v>-166.87434137688413</c:v>
                </c:pt>
                <c:pt idx="152">
                  <c:v>-167.1523224074711</c:v>
                </c:pt>
                <c:pt idx="153">
                  <c:v>-167.45592847114654</c:v>
                </c:pt>
                <c:pt idx="154">
                  <c:v>-167.7455075112639</c:v>
                </c:pt>
                <c:pt idx="155">
                  <c:v>-168.02201027563106</c:v>
                </c:pt>
                <c:pt idx="156">
                  <c:v>-168.28630343783732</c:v>
                </c:pt>
                <c:pt idx="157">
                  <c:v>-168.57002205312034</c:v>
                </c:pt>
                <c:pt idx="158">
                  <c:v>-168.81091530095654</c:v>
                </c:pt>
                <c:pt idx="159">
                  <c:v>-169.07005807105429</c:v>
                </c:pt>
                <c:pt idx="160">
                  <c:v>-169.31746310729412</c:v>
                </c:pt>
                <c:pt idx="161">
                  <c:v>-169.55391060024218</c:v>
                </c:pt>
                <c:pt idx="162">
                  <c:v>-169.80464312957236</c:v>
                </c:pt>
                <c:pt idx="163">
                  <c:v>-170.04361632925765</c:v>
                </c:pt>
                <c:pt idx="164">
                  <c:v>-170.27163884323937</c:v>
                </c:pt>
                <c:pt idx="165">
                  <c:v>-170.48944680520606</c:v>
                </c:pt>
                <c:pt idx="166">
                  <c:v>-170.69771179080465</c:v>
                </c:pt>
                <c:pt idx="167">
                  <c:v>-170.91651231248179</c:v>
                </c:pt>
                <c:pt idx="168">
                  <c:v>-171.12525307384345</c:v>
                </c:pt>
                <c:pt idx="169">
                  <c:v>-171.32461247961632</c:v>
                </c:pt>
                <c:pt idx="170">
                  <c:v>-171.51520925709718</c:v>
                </c:pt>
                <c:pt idx="171">
                  <c:v>-171.71380243801667</c:v>
                </c:pt>
                <c:pt idx="172">
                  <c:v>-171.90330920850263</c:v>
                </c:pt>
                <c:pt idx="173">
                  <c:v>-172.08433939435577</c:v>
                </c:pt>
                <c:pt idx="174">
                  <c:v>-172.27153402810939</c:v>
                </c:pt>
                <c:pt idx="175">
                  <c:v>-172.43663665922153</c:v>
                </c:pt>
                <c:pt idx="176">
                  <c:v>-172.60771566160423</c:v>
                </c:pt>
                <c:pt idx="177">
                  <c:v>-172.78350318889548</c:v>
                </c:pt>
                <c:pt idx="178">
                  <c:v>-172.95112275335455</c:v>
                </c:pt>
                <c:pt idx="179">
                  <c:v>-173.11113082948566</c:v>
                </c:pt>
                <c:pt idx="180">
                  <c:v>-173.26403445522212</c:v>
                </c:pt>
                <c:pt idx="181">
                  <c:v>-173.42050117899143</c:v>
                </c:pt>
                <c:pt idx="182">
                  <c:v>-173.56986266327152</c:v>
                </c:pt>
                <c:pt idx="183">
                  <c:v>-173.71259222297812</c:v>
                </c:pt>
                <c:pt idx="184">
                  <c:v>-173.85801347374408</c:v>
                </c:pt>
                <c:pt idx="185">
                  <c:v>-173.99685888737361</c:v>
                </c:pt>
                <c:pt idx="186">
                  <c:v>-174.12956469841771</c:v>
                </c:pt>
                <c:pt idx="187">
                  <c:v>-174.26428254884269</c:v>
                </c:pt>
                <c:pt idx="188">
                  <c:v>-174.40034454185522</c:v>
                </c:pt>
                <c:pt idx="189">
                  <c:v>-174.52304936012493</c:v>
                </c:pt>
                <c:pt idx="190">
                  <c:v>-174.64724287202756</c:v>
                </c:pt>
                <c:pt idx="191">
                  <c:v>-174.77236776329687</c:v>
                </c:pt>
                <c:pt idx="192">
                  <c:v>-174.89177584859308</c:v>
                </c:pt>
                <c:pt idx="193">
                  <c:v>-175.00585020967921</c:v>
                </c:pt>
                <c:pt idx="194">
                  <c:v>-175.12055015726344</c:v>
                </c:pt>
                <c:pt idx="195">
                  <c:v>-175.23009929208857</c:v>
                </c:pt>
                <c:pt idx="196">
                  <c:v>-175.33995325123357</c:v>
                </c:pt>
                <c:pt idx="197">
                  <c:v>-175.44486066326428</c:v>
                </c:pt>
                <c:pt idx="198">
                  <c:v>-175.54981386192119</c:v>
                </c:pt>
                <c:pt idx="199">
                  <c:v>-175.65003922771436</c:v>
                </c:pt>
                <c:pt idx="200">
                  <c:v>-175.75010402120944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8E2-4057-A93E-7E102CDF6B3E}"/>
            </c:ext>
          </c:extLst>
        </c:ser>
        <c:ser>
          <c:idx val="1"/>
          <c:order val="1"/>
          <c:tx>
            <c:v>Port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Calculations!$B$11:$B$211</c:f>
              <c:numCache>
                <c:formatCode>0.0</c:formatCode>
                <c:ptCount val="201"/>
                <c:pt idx="0">
                  <c:v>10</c:v>
                </c:pt>
                <c:pt idx="1">
                  <c:v>10.199999999999999</c:v>
                </c:pt>
                <c:pt idx="2">
                  <c:v>10.5</c:v>
                </c:pt>
                <c:pt idx="3">
                  <c:v>10.7</c:v>
                </c:pt>
                <c:pt idx="4">
                  <c:v>11</c:v>
                </c:pt>
                <c:pt idx="5">
                  <c:v>11.2</c:v>
                </c:pt>
                <c:pt idx="6">
                  <c:v>11.5</c:v>
                </c:pt>
                <c:pt idx="7">
                  <c:v>11.7</c:v>
                </c:pt>
                <c:pt idx="8">
                  <c:v>12</c:v>
                </c:pt>
                <c:pt idx="9">
                  <c:v>12.3</c:v>
                </c:pt>
                <c:pt idx="10">
                  <c:v>12.6</c:v>
                </c:pt>
                <c:pt idx="11">
                  <c:v>12.9</c:v>
                </c:pt>
                <c:pt idx="12">
                  <c:v>13.2</c:v>
                </c:pt>
                <c:pt idx="13">
                  <c:v>13.5</c:v>
                </c:pt>
                <c:pt idx="14">
                  <c:v>13.8</c:v>
                </c:pt>
                <c:pt idx="15">
                  <c:v>14.1</c:v>
                </c:pt>
                <c:pt idx="16">
                  <c:v>14.5</c:v>
                </c:pt>
                <c:pt idx="17">
                  <c:v>14.8</c:v>
                </c:pt>
                <c:pt idx="18">
                  <c:v>15.1</c:v>
                </c:pt>
                <c:pt idx="19">
                  <c:v>15.5</c:v>
                </c:pt>
                <c:pt idx="20">
                  <c:v>15.8</c:v>
                </c:pt>
                <c:pt idx="21">
                  <c:v>16.2</c:v>
                </c:pt>
                <c:pt idx="22">
                  <c:v>16.600000000000001</c:v>
                </c:pt>
                <c:pt idx="23">
                  <c:v>17</c:v>
                </c:pt>
                <c:pt idx="24">
                  <c:v>17.399999999999999</c:v>
                </c:pt>
                <c:pt idx="25">
                  <c:v>17.8</c:v>
                </c:pt>
                <c:pt idx="26">
                  <c:v>18.2</c:v>
                </c:pt>
                <c:pt idx="27">
                  <c:v>18.600000000000001</c:v>
                </c:pt>
                <c:pt idx="28">
                  <c:v>19.100000000000001</c:v>
                </c:pt>
                <c:pt idx="29">
                  <c:v>19.5</c:v>
                </c:pt>
                <c:pt idx="30">
                  <c:v>20</c:v>
                </c:pt>
                <c:pt idx="31">
                  <c:v>20.399999999999999</c:v>
                </c:pt>
                <c:pt idx="32">
                  <c:v>20.9</c:v>
                </c:pt>
                <c:pt idx="33">
                  <c:v>21.4</c:v>
                </c:pt>
                <c:pt idx="34">
                  <c:v>21.9</c:v>
                </c:pt>
                <c:pt idx="35">
                  <c:v>22.4</c:v>
                </c:pt>
                <c:pt idx="36">
                  <c:v>22.9</c:v>
                </c:pt>
                <c:pt idx="37">
                  <c:v>23.4</c:v>
                </c:pt>
                <c:pt idx="38">
                  <c:v>24</c:v>
                </c:pt>
                <c:pt idx="39">
                  <c:v>24.5</c:v>
                </c:pt>
                <c:pt idx="40">
                  <c:v>25.1</c:v>
                </c:pt>
                <c:pt idx="41">
                  <c:v>25.7</c:v>
                </c:pt>
                <c:pt idx="42">
                  <c:v>26.3</c:v>
                </c:pt>
                <c:pt idx="43">
                  <c:v>26.9</c:v>
                </c:pt>
                <c:pt idx="44">
                  <c:v>27.5</c:v>
                </c:pt>
                <c:pt idx="45">
                  <c:v>28.2</c:v>
                </c:pt>
                <c:pt idx="46">
                  <c:v>28.8</c:v>
                </c:pt>
                <c:pt idx="47">
                  <c:v>29.5</c:v>
                </c:pt>
                <c:pt idx="48">
                  <c:v>30.2</c:v>
                </c:pt>
                <c:pt idx="49">
                  <c:v>30.9</c:v>
                </c:pt>
                <c:pt idx="50">
                  <c:v>31.6</c:v>
                </c:pt>
                <c:pt idx="51">
                  <c:v>32.4</c:v>
                </c:pt>
                <c:pt idx="52">
                  <c:v>33.1</c:v>
                </c:pt>
                <c:pt idx="53">
                  <c:v>33.9</c:v>
                </c:pt>
                <c:pt idx="54">
                  <c:v>34.700000000000003</c:v>
                </c:pt>
                <c:pt idx="55">
                  <c:v>35.5</c:v>
                </c:pt>
                <c:pt idx="56">
                  <c:v>36.299999999999997</c:v>
                </c:pt>
                <c:pt idx="57">
                  <c:v>37.200000000000003</c:v>
                </c:pt>
                <c:pt idx="58">
                  <c:v>38</c:v>
                </c:pt>
                <c:pt idx="59">
                  <c:v>38.9</c:v>
                </c:pt>
                <c:pt idx="60">
                  <c:v>39.799999999999997</c:v>
                </c:pt>
                <c:pt idx="61">
                  <c:v>40.700000000000003</c:v>
                </c:pt>
                <c:pt idx="62">
                  <c:v>41.7</c:v>
                </c:pt>
                <c:pt idx="63">
                  <c:v>42.7</c:v>
                </c:pt>
                <c:pt idx="64">
                  <c:v>43.7</c:v>
                </c:pt>
                <c:pt idx="65">
                  <c:v>44.7</c:v>
                </c:pt>
                <c:pt idx="66">
                  <c:v>45.7</c:v>
                </c:pt>
                <c:pt idx="67">
                  <c:v>46.8</c:v>
                </c:pt>
                <c:pt idx="68">
                  <c:v>47.9</c:v>
                </c:pt>
                <c:pt idx="69">
                  <c:v>49</c:v>
                </c:pt>
                <c:pt idx="70">
                  <c:v>50.1</c:v>
                </c:pt>
                <c:pt idx="71">
                  <c:v>51.3</c:v>
                </c:pt>
                <c:pt idx="72">
                  <c:v>52.5</c:v>
                </c:pt>
                <c:pt idx="73">
                  <c:v>53.7</c:v>
                </c:pt>
                <c:pt idx="74">
                  <c:v>55</c:v>
                </c:pt>
                <c:pt idx="75">
                  <c:v>56.2</c:v>
                </c:pt>
                <c:pt idx="76">
                  <c:v>57.5</c:v>
                </c:pt>
                <c:pt idx="77">
                  <c:v>58.9</c:v>
                </c:pt>
                <c:pt idx="78">
                  <c:v>60.3</c:v>
                </c:pt>
                <c:pt idx="79">
                  <c:v>61.7</c:v>
                </c:pt>
                <c:pt idx="80">
                  <c:v>63.1</c:v>
                </c:pt>
                <c:pt idx="81">
                  <c:v>64.599999999999994</c:v>
                </c:pt>
                <c:pt idx="82">
                  <c:v>66.099999999999994</c:v>
                </c:pt>
                <c:pt idx="83">
                  <c:v>67.599999999999994</c:v>
                </c:pt>
                <c:pt idx="84">
                  <c:v>69.2</c:v>
                </c:pt>
                <c:pt idx="85">
                  <c:v>70.8</c:v>
                </c:pt>
                <c:pt idx="86">
                  <c:v>72.400000000000006</c:v>
                </c:pt>
                <c:pt idx="87">
                  <c:v>74.099999999999994</c:v>
                </c:pt>
                <c:pt idx="88">
                  <c:v>75.900000000000006</c:v>
                </c:pt>
                <c:pt idx="89">
                  <c:v>77.599999999999994</c:v>
                </c:pt>
                <c:pt idx="90">
                  <c:v>79.400000000000006</c:v>
                </c:pt>
                <c:pt idx="91">
                  <c:v>81.3</c:v>
                </c:pt>
                <c:pt idx="92">
                  <c:v>83.2</c:v>
                </c:pt>
                <c:pt idx="93">
                  <c:v>85.1</c:v>
                </c:pt>
                <c:pt idx="94">
                  <c:v>87.1</c:v>
                </c:pt>
                <c:pt idx="95">
                  <c:v>89.1</c:v>
                </c:pt>
                <c:pt idx="96">
                  <c:v>91.2</c:v>
                </c:pt>
                <c:pt idx="97">
                  <c:v>93.3</c:v>
                </c:pt>
                <c:pt idx="98">
                  <c:v>95.5</c:v>
                </c:pt>
                <c:pt idx="99">
                  <c:v>97.7</c:v>
                </c:pt>
                <c:pt idx="100" formatCode="0">
                  <c:v>100</c:v>
                </c:pt>
                <c:pt idx="101" formatCode="0">
                  <c:v>102</c:v>
                </c:pt>
                <c:pt idx="102" formatCode="0">
                  <c:v>105</c:v>
                </c:pt>
                <c:pt idx="103" formatCode="0">
                  <c:v>107</c:v>
                </c:pt>
                <c:pt idx="104" formatCode="0">
                  <c:v>110</c:v>
                </c:pt>
                <c:pt idx="105" formatCode="0">
                  <c:v>112</c:v>
                </c:pt>
                <c:pt idx="106" formatCode="0">
                  <c:v>115</c:v>
                </c:pt>
                <c:pt idx="107" formatCode="0">
                  <c:v>117</c:v>
                </c:pt>
                <c:pt idx="108" formatCode="0">
                  <c:v>120</c:v>
                </c:pt>
                <c:pt idx="109" formatCode="0">
                  <c:v>123</c:v>
                </c:pt>
                <c:pt idx="110" formatCode="0">
                  <c:v>126</c:v>
                </c:pt>
                <c:pt idx="111" formatCode="0">
                  <c:v>129</c:v>
                </c:pt>
                <c:pt idx="112" formatCode="0">
                  <c:v>132</c:v>
                </c:pt>
                <c:pt idx="113" formatCode="0">
                  <c:v>135</c:v>
                </c:pt>
                <c:pt idx="114" formatCode="0">
                  <c:v>138</c:v>
                </c:pt>
                <c:pt idx="115" formatCode="0">
                  <c:v>141</c:v>
                </c:pt>
                <c:pt idx="116" formatCode="0">
                  <c:v>145</c:v>
                </c:pt>
                <c:pt idx="117" formatCode="0">
                  <c:v>148</c:v>
                </c:pt>
                <c:pt idx="118" formatCode="0">
                  <c:v>151</c:v>
                </c:pt>
                <c:pt idx="119" formatCode="0">
                  <c:v>155</c:v>
                </c:pt>
                <c:pt idx="120" formatCode="0">
                  <c:v>158</c:v>
                </c:pt>
                <c:pt idx="121" formatCode="0">
                  <c:v>162</c:v>
                </c:pt>
                <c:pt idx="122" formatCode="0">
                  <c:v>166</c:v>
                </c:pt>
                <c:pt idx="123" formatCode="0">
                  <c:v>170</c:v>
                </c:pt>
                <c:pt idx="124" formatCode="0">
                  <c:v>174</c:v>
                </c:pt>
                <c:pt idx="125" formatCode="0">
                  <c:v>178</c:v>
                </c:pt>
                <c:pt idx="126" formatCode="0">
                  <c:v>182</c:v>
                </c:pt>
                <c:pt idx="127" formatCode="0">
                  <c:v>186</c:v>
                </c:pt>
                <c:pt idx="128" formatCode="0">
                  <c:v>191</c:v>
                </c:pt>
                <c:pt idx="129" formatCode="0">
                  <c:v>195</c:v>
                </c:pt>
                <c:pt idx="130" formatCode="0">
                  <c:v>200</c:v>
                </c:pt>
                <c:pt idx="131" formatCode="0">
                  <c:v>204</c:v>
                </c:pt>
                <c:pt idx="132" formatCode="0">
                  <c:v>209</c:v>
                </c:pt>
                <c:pt idx="133" formatCode="0">
                  <c:v>214</c:v>
                </c:pt>
                <c:pt idx="134" formatCode="0">
                  <c:v>219</c:v>
                </c:pt>
                <c:pt idx="135" formatCode="0">
                  <c:v>224</c:v>
                </c:pt>
                <c:pt idx="136" formatCode="0">
                  <c:v>229</c:v>
                </c:pt>
                <c:pt idx="137" formatCode="0">
                  <c:v>234</c:v>
                </c:pt>
                <c:pt idx="138" formatCode="0">
                  <c:v>240</c:v>
                </c:pt>
                <c:pt idx="139" formatCode="0">
                  <c:v>245</c:v>
                </c:pt>
                <c:pt idx="140" formatCode="0">
                  <c:v>251</c:v>
                </c:pt>
                <c:pt idx="141" formatCode="0">
                  <c:v>257</c:v>
                </c:pt>
                <c:pt idx="142" formatCode="0">
                  <c:v>263</c:v>
                </c:pt>
                <c:pt idx="143" formatCode="0">
                  <c:v>269</c:v>
                </c:pt>
                <c:pt idx="144" formatCode="0">
                  <c:v>275</c:v>
                </c:pt>
                <c:pt idx="145" formatCode="0">
                  <c:v>282</c:v>
                </c:pt>
                <c:pt idx="146" formatCode="0">
                  <c:v>288</c:v>
                </c:pt>
                <c:pt idx="147" formatCode="0">
                  <c:v>295</c:v>
                </c:pt>
                <c:pt idx="148" formatCode="0">
                  <c:v>302</c:v>
                </c:pt>
                <c:pt idx="149" formatCode="0">
                  <c:v>309</c:v>
                </c:pt>
                <c:pt idx="150" formatCode="0">
                  <c:v>316</c:v>
                </c:pt>
                <c:pt idx="151" formatCode="0">
                  <c:v>324</c:v>
                </c:pt>
                <c:pt idx="152" formatCode="0">
                  <c:v>331</c:v>
                </c:pt>
                <c:pt idx="153" formatCode="0">
                  <c:v>339</c:v>
                </c:pt>
                <c:pt idx="154" formatCode="0">
                  <c:v>347</c:v>
                </c:pt>
                <c:pt idx="155" formatCode="0">
                  <c:v>355</c:v>
                </c:pt>
                <c:pt idx="156" formatCode="0">
                  <c:v>363</c:v>
                </c:pt>
                <c:pt idx="157" formatCode="0">
                  <c:v>372</c:v>
                </c:pt>
                <c:pt idx="158" formatCode="0">
                  <c:v>380</c:v>
                </c:pt>
                <c:pt idx="159" formatCode="0">
                  <c:v>389</c:v>
                </c:pt>
                <c:pt idx="160" formatCode="0">
                  <c:v>398</c:v>
                </c:pt>
                <c:pt idx="161" formatCode="0">
                  <c:v>407</c:v>
                </c:pt>
                <c:pt idx="162" formatCode="0">
                  <c:v>417</c:v>
                </c:pt>
                <c:pt idx="163" formatCode="0">
                  <c:v>427</c:v>
                </c:pt>
                <c:pt idx="164" formatCode="0">
                  <c:v>437</c:v>
                </c:pt>
                <c:pt idx="165" formatCode="0">
                  <c:v>447</c:v>
                </c:pt>
                <c:pt idx="166" formatCode="0">
                  <c:v>457</c:v>
                </c:pt>
                <c:pt idx="167" formatCode="0">
                  <c:v>468</c:v>
                </c:pt>
                <c:pt idx="168" formatCode="0">
                  <c:v>479</c:v>
                </c:pt>
                <c:pt idx="169" formatCode="0">
                  <c:v>490</c:v>
                </c:pt>
                <c:pt idx="170" formatCode="0">
                  <c:v>501</c:v>
                </c:pt>
                <c:pt idx="171" formatCode="0">
                  <c:v>513</c:v>
                </c:pt>
                <c:pt idx="172" formatCode="0">
                  <c:v>525</c:v>
                </c:pt>
                <c:pt idx="173" formatCode="0">
                  <c:v>537</c:v>
                </c:pt>
                <c:pt idx="174" formatCode="0">
                  <c:v>550</c:v>
                </c:pt>
                <c:pt idx="175" formatCode="0">
                  <c:v>562</c:v>
                </c:pt>
                <c:pt idx="176" formatCode="0">
                  <c:v>575</c:v>
                </c:pt>
                <c:pt idx="177" formatCode="0">
                  <c:v>589</c:v>
                </c:pt>
                <c:pt idx="178" formatCode="0">
                  <c:v>603</c:v>
                </c:pt>
                <c:pt idx="179" formatCode="0">
                  <c:v>617</c:v>
                </c:pt>
                <c:pt idx="180" formatCode="0">
                  <c:v>631</c:v>
                </c:pt>
                <c:pt idx="181" formatCode="0">
                  <c:v>646</c:v>
                </c:pt>
                <c:pt idx="182" formatCode="0">
                  <c:v>661</c:v>
                </c:pt>
                <c:pt idx="183" formatCode="0">
                  <c:v>676</c:v>
                </c:pt>
                <c:pt idx="184" formatCode="0">
                  <c:v>692</c:v>
                </c:pt>
                <c:pt idx="185" formatCode="0">
                  <c:v>708</c:v>
                </c:pt>
                <c:pt idx="186" formatCode="0">
                  <c:v>724</c:v>
                </c:pt>
                <c:pt idx="187" formatCode="0">
                  <c:v>741</c:v>
                </c:pt>
                <c:pt idx="188" formatCode="0">
                  <c:v>759</c:v>
                </c:pt>
                <c:pt idx="189" formatCode="0">
                  <c:v>776</c:v>
                </c:pt>
                <c:pt idx="190" formatCode="0">
                  <c:v>794</c:v>
                </c:pt>
                <c:pt idx="191" formatCode="0">
                  <c:v>813</c:v>
                </c:pt>
                <c:pt idx="192" formatCode="0">
                  <c:v>832</c:v>
                </c:pt>
                <c:pt idx="193" formatCode="0">
                  <c:v>851</c:v>
                </c:pt>
                <c:pt idx="194" formatCode="0">
                  <c:v>871</c:v>
                </c:pt>
                <c:pt idx="195" formatCode="0">
                  <c:v>891</c:v>
                </c:pt>
                <c:pt idx="196" formatCode="0">
                  <c:v>912</c:v>
                </c:pt>
                <c:pt idx="197" formatCode="0">
                  <c:v>933</c:v>
                </c:pt>
                <c:pt idx="198" formatCode="0">
                  <c:v>955</c:v>
                </c:pt>
                <c:pt idx="199" formatCode="0">
                  <c:v>977</c:v>
                </c:pt>
                <c:pt idx="200" formatCode="0">
                  <c:v>1000</c:v>
                </c:pt>
              </c:numCache>
            </c:numRef>
          </c:xVal>
          <c:yVal>
            <c:numRef>
              <c:f>Calculations!$K$11:$K$211</c:f>
              <c:numCache>
                <c:formatCode>0.0</c:formatCode>
                <c:ptCount val="201"/>
                <c:pt idx="0">
                  <c:v>129.3021500782595</c:v>
                </c:pt>
                <c:pt idx="1">
                  <c:v>128.25137414995419</c:v>
                </c:pt>
                <c:pt idx="2">
                  <c:v>126.67058062990141</c:v>
                </c:pt>
                <c:pt idx="3">
                  <c:v>125.6135186385916</c:v>
                </c:pt>
                <c:pt idx="4">
                  <c:v>124.02292591636775</c:v>
                </c:pt>
                <c:pt idx="5">
                  <c:v>122.95907709173541</c:v>
                </c:pt>
                <c:pt idx="6">
                  <c:v>121.35791022477144</c:v>
                </c:pt>
                <c:pt idx="7">
                  <c:v>120.28674169241623</c:v>
                </c:pt>
                <c:pt idx="8">
                  <c:v>118.67417638707877</c:v>
                </c:pt>
                <c:pt idx="9">
                  <c:v>117.0543550406037</c:v>
                </c:pt>
                <c:pt idx="10">
                  <c:v>115.42695104387413</c:v>
                </c:pt>
                <c:pt idx="11">
                  <c:v>113.79162626479835</c:v>
                </c:pt>
                <c:pt idx="12">
                  <c:v>112.14803097506912</c:v>
                </c:pt>
                <c:pt idx="13">
                  <c:v>110.49580385238444</c:v>
                </c:pt>
                <c:pt idx="14">
                  <c:v>108.83457206938429</c:v>
                </c:pt>
                <c:pt idx="15">
                  <c:v>107.16395148161658</c:v>
                </c:pt>
                <c:pt idx="16">
                  <c:v>104.92116802725137</c:v>
                </c:pt>
                <c:pt idx="17">
                  <c:v>103.22708526710753</c:v>
                </c:pt>
                <c:pt idx="18">
                  <c:v>101.52225632537498</c:v>
                </c:pt>
                <c:pt idx="19">
                  <c:v>99.231693917077578</c:v>
                </c:pt>
                <c:pt idx="20">
                  <c:v>97.500112518804457</c:v>
                </c:pt>
                <c:pt idx="21">
                  <c:v>95.17227891160401</c:v>
                </c:pt>
                <c:pt idx="22">
                  <c:v>92.821685045699169</c:v>
                </c:pt>
                <c:pt idx="23">
                  <c:v>90.447255492868806</c:v>
                </c:pt>
                <c:pt idx="24">
                  <c:v>88.047915825557212</c:v>
                </c:pt>
                <c:pt idx="25">
                  <c:v>85.622603415538478</c:v>
                </c:pt>
                <c:pt idx="26">
                  <c:v>83.170280129187006</c:v>
                </c:pt>
                <c:pt idx="27">
                  <c:v>80.689947060647683</c:v>
                </c:pt>
                <c:pt idx="28">
                  <c:v>77.548712552779946</c:v>
                </c:pt>
                <c:pt idx="29">
                  <c:v>75.002027009884202</c:v>
                </c:pt>
                <c:pt idx="30">
                  <c:v>71.775329954676621</c:v>
                </c:pt>
                <c:pt idx="31">
                  <c:v>69.158570800018779</c:v>
                </c:pt>
                <c:pt idx="32">
                  <c:v>65.842679798604991</c:v>
                </c:pt>
                <c:pt idx="33">
                  <c:v>62.476498823733536</c:v>
                </c:pt>
                <c:pt idx="34">
                  <c:v>59.060172371224489</c:v>
                </c:pt>
                <c:pt idx="35">
                  <c:v>55.594484310964603</c:v>
                </c:pt>
                <c:pt idx="36">
                  <c:v>52.080946465971408</c:v>
                </c:pt>
                <c:pt idx="37">
                  <c:v>48.521879489818595</c:v>
                </c:pt>
                <c:pt idx="38">
                  <c:v>44.195466446784678</c:v>
                </c:pt>
                <c:pt idx="39">
                  <c:v>40.548790328609186</c:v>
                </c:pt>
                <c:pt idx="40">
                  <c:v>36.131039413313431</c:v>
                </c:pt>
                <c:pt idx="41">
                  <c:v>31.678058505300314</c:v>
                </c:pt>
                <c:pt idx="42">
                  <c:v>27.202448342887347</c:v>
                </c:pt>
                <c:pt idx="43">
                  <c:v>22.718316584225025</c:v>
                </c:pt>
                <c:pt idx="44">
                  <c:v>18.240906619941619</c:v>
                </c:pt>
                <c:pt idx="45">
                  <c:v>13.047010115963189</c:v>
                </c:pt>
                <c:pt idx="46">
                  <c:v>8.6389647377875356</c:v>
                </c:pt>
                <c:pt idx="47">
                  <c:v>3.5693140822524723</c:v>
                </c:pt>
                <c:pt idx="48">
                  <c:v>-1.3997324457172098</c:v>
                </c:pt>
                <c:pt idx="49">
                  <c:v>-6.2477366509032812</c:v>
                </c:pt>
                <c:pt idx="50">
                  <c:v>-10.957541327910427</c:v>
                </c:pt>
                <c:pt idx="51">
                  <c:v>-16.153771276491568</c:v>
                </c:pt>
                <c:pt idx="52">
                  <c:v>-20.526636073325534</c:v>
                </c:pt>
                <c:pt idx="53">
                  <c:v>-25.317746213834578</c:v>
                </c:pt>
                <c:pt idx="54">
                  <c:v>-29.885300320872187</c:v>
                </c:pt>
                <c:pt idx="55">
                  <c:v>-34.230146571401654</c:v>
                </c:pt>
                <c:pt idx="56">
                  <c:v>-38.356684611699301</c:v>
                </c:pt>
                <c:pt idx="57">
                  <c:v>-42.746932337930964</c:v>
                </c:pt>
                <c:pt idx="58">
                  <c:v>-46.435179127605664</c:v>
                </c:pt>
                <c:pt idx="59">
                  <c:v>-50.356566215429773</c:v>
                </c:pt>
                <c:pt idx="60">
                  <c:v>-54.051294637757671</c:v>
                </c:pt>
                <c:pt idx="61">
                  <c:v>-57.534721031482228</c:v>
                </c:pt>
                <c:pt idx="62">
                  <c:v>-61.175647733945716</c:v>
                </c:pt>
                <c:pt idx="63">
                  <c:v>-64.593967044002767</c:v>
                </c:pt>
                <c:pt idx="64">
                  <c:v>-67.808112519163274</c:v>
                </c:pt>
                <c:pt idx="65">
                  <c:v>-70.835102621735018</c:v>
                </c:pt>
                <c:pt idx="66">
                  <c:v>-73.690507195015201</c:v>
                </c:pt>
                <c:pt idx="67">
                  <c:v>-76.650127910811037</c:v>
                </c:pt>
                <c:pt idx="68">
                  <c:v>-79.436218359478175</c:v>
                </c:pt>
                <c:pt idx="69">
                  <c:v>-82.063970371193093</c:v>
                </c:pt>
                <c:pt idx="70">
                  <c:v>-84.546954706290094</c:v>
                </c:pt>
                <c:pt idx="71">
                  <c:v>-87.104766025540684</c:v>
                </c:pt>
                <c:pt idx="72">
                  <c:v>-89.518691921601132</c:v>
                </c:pt>
                <c:pt idx="73">
                  <c:v>-91.801136828590401</c:v>
                </c:pt>
                <c:pt idx="74">
                  <c:v>-94.138157013597109</c:v>
                </c:pt>
                <c:pt idx="75">
                  <c:v>-96.180656753295253</c:v>
                </c:pt>
                <c:pt idx="76">
                  <c:v>-98.279376797325469</c:v>
                </c:pt>
                <c:pt idx="77">
                  <c:v>-100.41789041637352</c:v>
                </c:pt>
                <c:pt idx="78">
                  <c:v>-102.44083331248144</c:v>
                </c:pt>
                <c:pt idx="79">
                  <c:v>-104.35781972613306</c:v>
                </c:pt>
                <c:pt idx="80">
                  <c:v>-106.17738918894673</c:v>
                </c:pt>
                <c:pt idx="81">
                  <c:v>-108.02745669243654</c:v>
                </c:pt>
                <c:pt idx="82">
                  <c:v>-109.78276578461336</c:v>
                </c:pt>
                <c:pt idx="83">
                  <c:v>-111.45075034512026</c:v>
                </c:pt>
                <c:pt idx="84">
                  <c:v>-113.14115836150546</c:v>
                </c:pt>
                <c:pt idx="85">
                  <c:v>-114.74697684474035</c:v>
                </c:pt>
                <c:pt idx="86">
                  <c:v>-116.27465449051051</c:v>
                </c:pt>
                <c:pt idx="87">
                  <c:v>-117.81865389270068</c:v>
                </c:pt>
                <c:pt idx="88">
                  <c:v>-119.3713490595881</c:v>
                </c:pt>
                <c:pt idx="89">
                  <c:v>-120.76606669638544</c:v>
                </c:pt>
                <c:pt idx="90">
                  <c:v>-122.17255747843292</c:v>
                </c:pt>
                <c:pt idx="91">
                  <c:v>-123.58456095789036</c:v>
                </c:pt>
                <c:pt idx="92">
                  <c:v>-124.92752055000258</c:v>
                </c:pt>
                <c:pt idx="93">
                  <c:v>-126.20651583764042</c:v>
                </c:pt>
                <c:pt idx="94">
                  <c:v>-127.48875184218824</c:v>
                </c:pt>
                <c:pt idx="95">
                  <c:v>-128.71000185425521</c:v>
                </c:pt>
                <c:pt idx="96">
                  <c:v>-129.93142968149698</c:v>
                </c:pt>
                <c:pt idx="97">
                  <c:v>-131.09495417802384</c:v>
                </c:pt>
                <c:pt idx="98">
                  <c:v>-132.25624631209377</c:v>
                </c:pt>
                <c:pt idx="99">
                  <c:v>-133.36275464082325</c:v>
                </c:pt>
                <c:pt idx="100">
                  <c:v>-134.4651635203515</c:v>
                </c:pt>
                <c:pt idx="101">
                  <c:v>-135.3816402442981</c:v>
                </c:pt>
                <c:pt idx="102">
                  <c:v>-136.68826207409512</c:v>
                </c:pt>
                <c:pt idx="103">
                  <c:v>-137.51708106765557</c:v>
                </c:pt>
                <c:pt idx="104">
                  <c:v>-138.70176515002245</c:v>
                </c:pt>
                <c:pt idx="105">
                  <c:v>-139.45508418492349</c:v>
                </c:pt>
                <c:pt idx="106">
                  <c:v>-140.53433923356408</c:v>
                </c:pt>
                <c:pt idx="107">
                  <c:v>-141.22213947212455</c:v>
                </c:pt>
                <c:pt idx="108">
                  <c:v>-142.20958797926085</c:v>
                </c:pt>
                <c:pt idx="109">
                  <c:v>-143.14752451008161</c:v>
                </c:pt>
                <c:pt idx="110">
                  <c:v>-144.03961790750805</c:v>
                </c:pt>
                <c:pt idx="111">
                  <c:v>-144.88917964859158</c:v>
                </c:pt>
                <c:pt idx="112">
                  <c:v>-145.69920676750311</c:v>
                </c:pt>
                <c:pt idx="113">
                  <c:v>-146.47241867312619</c:v>
                </c:pt>
                <c:pt idx="114">
                  <c:v>-147.2112888613255</c:v>
                </c:pt>
                <c:pt idx="115">
                  <c:v>-147.91807233718339</c:v>
                </c:pt>
                <c:pt idx="116">
                  <c:v>-148.81407326295806</c:v>
                </c:pt>
                <c:pt idx="117">
                  <c:v>-149.45370206102965</c:v>
                </c:pt>
                <c:pt idx="118">
                  <c:v>-150.06746633356161</c:v>
                </c:pt>
                <c:pt idx="119">
                  <c:v>-150.84824119128839</c:v>
                </c:pt>
                <c:pt idx="120">
                  <c:v>-151.40746267319207</c:v>
                </c:pt>
                <c:pt idx="121">
                  <c:v>-152.12038201776505</c:v>
                </c:pt>
                <c:pt idx="122">
                  <c:v>-152.79844610857089</c:v>
                </c:pt>
                <c:pt idx="123">
                  <c:v>-153.44416219966365</c:v>
                </c:pt>
                <c:pt idx="124">
                  <c:v>-154.05980156120242</c:v>
                </c:pt>
                <c:pt idx="125">
                  <c:v>-154.64742673749751</c:v>
                </c:pt>
                <c:pt idx="126">
                  <c:v>-155.20891509395048</c:v>
                </c:pt>
                <c:pt idx="127">
                  <c:v>-155.74597923212201</c:v>
                </c:pt>
                <c:pt idx="128">
                  <c:v>-156.38533521753638</c:v>
                </c:pt>
                <c:pt idx="129">
                  <c:v>-156.87297006872106</c:v>
                </c:pt>
                <c:pt idx="130">
                  <c:v>-157.45481610723539</c:v>
                </c:pt>
                <c:pt idx="131">
                  <c:v>-157.89956506415646</c:v>
                </c:pt>
                <c:pt idx="132">
                  <c:v>-158.4313482000704</c:v>
                </c:pt>
                <c:pt idx="133">
                  <c:v>-158.9380706817027</c:v>
                </c:pt>
                <c:pt idx="134">
                  <c:v>-159.42146800413917</c:v>
                </c:pt>
                <c:pt idx="135">
                  <c:v>-159.88311860445725</c:v>
                </c:pt>
                <c:pt idx="136">
                  <c:v>-160.3244612820223</c:v>
                </c:pt>
                <c:pt idx="137">
                  <c:v>-160.74681034442983</c:v>
                </c:pt>
                <c:pt idx="138">
                  <c:v>-161.23024437088878</c:v>
                </c:pt>
                <c:pt idx="139">
                  <c:v>-161.61490245870905</c:v>
                </c:pt>
                <c:pt idx="140">
                  <c:v>-162.05613965786461</c:v>
                </c:pt>
                <c:pt idx="141">
                  <c:v>-162.47665443248039</c:v>
                </c:pt>
                <c:pt idx="142">
                  <c:v>-162.87787577154475</c:v>
                </c:pt>
                <c:pt idx="143">
                  <c:v>-163.26110399464247</c:v>
                </c:pt>
                <c:pt idx="144">
                  <c:v>-163.6275249404477</c:v>
                </c:pt>
                <c:pt idx="145">
                  <c:v>-164.03521412153481</c:v>
                </c:pt>
                <c:pt idx="146">
                  <c:v>-164.36881567724492</c:v>
                </c:pt>
                <c:pt idx="147">
                  <c:v>-164.74079098404391</c:v>
                </c:pt>
                <c:pt idx="148">
                  <c:v>-165.09545023598903</c:v>
                </c:pt>
                <c:pt idx="149">
                  <c:v>-165.43397663642835</c:v>
                </c:pt>
                <c:pt idx="150">
                  <c:v>-165.75744785587628</c:v>
                </c:pt>
                <c:pt idx="151">
                  <c:v>-166.10995225518079</c:v>
                </c:pt>
                <c:pt idx="152">
                  <c:v>-166.40436740282698</c:v>
                </c:pt>
                <c:pt idx="153">
                  <c:v>-166.72590437118635</c:v>
                </c:pt>
                <c:pt idx="154">
                  <c:v>-167.03256863950079</c:v>
                </c:pt>
                <c:pt idx="155">
                  <c:v>-167.32536979356391</c:v>
                </c:pt>
                <c:pt idx="156">
                  <c:v>-167.60522797816705</c:v>
                </c:pt>
                <c:pt idx="157">
                  <c:v>-167.9056411168124</c:v>
                </c:pt>
                <c:pt idx="158">
                  <c:v>-168.16069743519265</c:v>
                </c:pt>
                <c:pt idx="159">
                  <c:v>-168.43506469438339</c:v>
                </c:pt>
                <c:pt idx="160">
                  <c:v>-168.69699372716966</c:v>
                </c:pt>
                <c:pt idx="161">
                  <c:v>-168.94731222544644</c:v>
                </c:pt>
                <c:pt idx="162">
                  <c:v>-169.21274364187795</c:v>
                </c:pt>
                <c:pt idx="163">
                  <c:v>-169.46571687054933</c:v>
                </c:pt>
                <c:pt idx="164">
                  <c:v>-169.70708945741029</c:v>
                </c:pt>
                <c:pt idx="165">
                  <c:v>-169.93764196115623</c:v>
                </c:pt>
                <c:pt idx="166">
                  <c:v>-170.15808640822164</c:v>
                </c:pt>
                <c:pt idx="167">
                  <c:v>-170.38967562915488</c:v>
                </c:pt>
                <c:pt idx="168">
                  <c:v>-170.61061068137536</c:v>
                </c:pt>
                <c:pt idx="169">
                  <c:v>-170.82161061569232</c:v>
                </c:pt>
                <c:pt idx="170">
                  <c:v>-171.023331170045</c:v>
                </c:pt>
                <c:pt idx="171">
                  <c:v>-171.23350963478231</c:v>
                </c:pt>
                <c:pt idx="172">
                  <c:v>-171.43406679652122</c:v>
                </c:pt>
                <c:pt idx="173">
                  <c:v>-171.62564879836148</c:v>
                </c:pt>
                <c:pt idx="174">
                  <c:v>-171.82375024908362</c:v>
                </c:pt>
                <c:pt idx="175">
                  <c:v>-171.9984689620137</c:v>
                </c:pt>
                <c:pt idx="176">
                  <c:v>-172.17950869473543</c:v>
                </c:pt>
                <c:pt idx="177">
                  <c:v>-172.36552753984668</c:v>
                </c:pt>
                <c:pt idx="178">
                  <c:v>-172.54289974539984</c:v>
                </c:pt>
                <c:pt idx="179">
                  <c:v>-172.71221468616528</c:v>
                </c:pt>
                <c:pt idx="180">
                  <c:v>-172.87400934644728</c:v>
                </c:pt>
                <c:pt idx="181">
                  <c:v>-173.03957172166173</c:v>
                </c:pt>
                <c:pt idx="182">
                  <c:v>-173.19761344937174</c:v>
                </c:pt>
                <c:pt idx="183">
                  <c:v>-173.34863572081088</c:v>
                </c:pt>
                <c:pt idx="184">
                  <c:v>-173.50250399782462</c:v>
                </c:pt>
                <c:pt idx="185">
                  <c:v>-173.64941255982464</c:v>
                </c:pt>
                <c:pt idx="186">
                  <c:v>-173.78982327112089</c:v>
                </c:pt>
                <c:pt idx="187">
                  <c:v>-173.93236117611914</c:v>
                </c:pt>
                <c:pt idx="188">
                  <c:v>-174.07631958496125</c:v>
                </c:pt>
                <c:pt idx="189">
                  <c:v>-174.20614422951274</c:v>
                </c:pt>
                <c:pt idx="190">
                  <c:v>-174.33754262652653</c:v>
                </c:pt>
                <c:pt idx="191">
                  <c:v>-174.4699251219281</c:v>
                </c:pt>
                <c:pt idx="192">
                  <c:v>-174.59625801920262</c:v>
                </c:pt>
                <c:pt idx="193">
                  <c:v>-174.71694680430537</c:v>
                </c:pt>
                <c:pt idx="194">
                  <c:v>-174.83829641926386</c:v>
                </c:pt>
                <c:pt idx="195">
                  <c:v>-174.9541956632327</c:v>
                </c:pt>
                <c:pt idx="196">
                  <c:v>-175.07041649730658</c:v>
                </c:pt>
                <c:pt idx="197">
                  <c:v>-175.18140326870895</c:v>
                </c:pt>
                <c:pt idx="198">
                  <c:v>-175.29243769167545</c:v>
                </c:pt>
                <c:pt idx="199">
                  <c:v>-175.39846962122706</c:v>
                </c:pt>
                <c:pt idx="200">
                  <c:v>-175.50433099079262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8E2-4057-A93E-7E102CDF6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26208"/>
        <c:axId val="1924051936"/>
      </c:scatterChart>
      <c:valAx>
        <c:axId val="9226208"/>
        <c:scaling>
          <c:logBase val="10"/>
          <c:orientation val="minMax"/>
          <c:max val="1000"/>
          <c:min val="10"/>
        </c:scaling>
        <c:delete val="0"/>
        <c:axPos val="b"/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 [Hz]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4051936"/>
        <c:crosses val="autoZero"/>
        <c:crossBetween val="midCat"/>
      </c:valAx>
      <c:valAx>
        <c:axId val="1924051936"/>
        <c:scaling>
          <c:orientation val="minMax"/>
          <c:max val="180"/>
          <c:min val="-1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Phase  [Deg]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6208"/>
        <c:crosses val="autoZero"/>
        <c:crossBetween val="midCat"/>
        <c:majorUnit val="45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1" l="1" r="1" t="1" header="0" footer="0"/>
    <c:pageSetup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Input Impedance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Impedance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Calculations!$B$11:$B$211</c:f>
              <c:numCache>
                <c:formatCode>0.0</c:formatCode>
                <c:ptCount val="201"/>
                <c:pt idx="0">
                  <c:v>10</c:v>
                </c:pt>
                <c:pt idx="1">
                  <c:v>10.199999999999999</c:v>
                </c:pt>
                <c:pt idx="2">
                  <c:v>10.5</c:v>
                </c:pt>
                <c:pt idx="3">
                  <c:v>10.7</c:v>
                </c:pt>
                <c:pt idx="4">
                  <c:v>11</c:v>
                </c:pt>
                <c:pt idx="5">
                  <c:v>11.2</c:v>
                </c:pt>
                <c:pt idx="6">
                  <c:v>11.5</c:v>
                </c:pt>
                <c:pt idx="7">
                  <c:v>11.7</c:v>
                </c:pt>
                <c:pt idx="8">
                  <c:v>12</c:v>
                </c:pt>
                <c:pt idx="9">
                  <c:v>12.3</c:v>
                </c:pt>
                <c:pt idx="10">
                  <c:v>12.6</c:v>
                </c:pt>
                <c:pt idx="11">
                  <c:v>12.9</c:v>
                </c:pt>
                <c:pt idx="12">
                  <c:v>13.2</c:v>
                </c:pt>
                <c:pt idx="13">
                  <c:v>13.5</c:v>
                </c:pt>
                <c:pt idx="14">
                  <c:v>13.8</c:v>
                </c:pt>
                <c:pt idx="15">
                  <c:v>14.1</c:v>
                </c:pt>
                <c:pt idx="16">
                  <c:v>14.5</c:v>
                </c:pt>
                <c:pt idx="17">
                  <c:v>14.8</c:v>
                </c:pt>
                <c:pt idx="18">
                  <c:v>15.1</c:v>
                </c:pt>
                <c:pt idx="19">
                  <c:v>15.5</c:v>
                </c:pt>
                <c:pt idx="20">
                  <c:v>15.8</c:v>
                </c:pt>
                <c:pt idx="21">
                  <c:v>16.2</c:v>
                </c:pt>
                <c:pt idx="22">
                  <c:v>16.600000000000001</c:v>
                </c:pt>
                <c:pt idx="23">
                  <c:v>17</c:v>
                </c:pt>
                <c:pt idx="24">
                  <c:v>17.399999999999999</c:v>
                </c:pt>
                <c:pt idx="25">
                  <c:v>17.8</c:v>
                </c:pt>
                <c:pt idx="26">
                  <c:v>18.2</c:v>
                </c:pt>
                <c:pt idx="27">
                  <c:v>18.600000000000001</c:v>
                </c:pt>
                <c:pt idx="28">
                  <c:v>19.100000000000001</c:v>
                </c:pt>
                <c:pt idx="29">
                  <c:v>19.5</c:v>
                </c:pt>
                <c:pt idx="30">
                  <c:v>20</c:v>
                </c:pt>
                <c:pt idx="31">
                  <c:v>20.399999999999999</c:v>
                </c:pt>
                <c:pt idx="32">
                  <c:v>20.9</c:v>
                </c:pt>
                <c:pt idx="33">
                  <c:v>21.4</c:v>
                </c:pt>
                <c:pt idx="34">
                  <c:v>21.9</c:v>
                </c:pt>
                <c:pt idx="35">
                  <c:v>22.4</c:v>
                </c:pt>
                <c:pt idx="36">
                  <c:v>22.9</c:v>
                </c:pt>
                <c:pt idx="37">
                  <c:v>23.4</c:v>
                </c:pt>
                <c:pt idx="38">
                  <c:v>24</c:v>
                </c:pt>
                <c:pt idx="39">
                  <c:v>24.5</c:v>
                </c:pt>
                <c:pt idx="40">
                  <c:v>25.1</c:v>
                </c:pt>
                <c:pt idx="41">
                  <c:v>25.7</c:v>
                </c:pt>
                <c:pt idx="42">
                  <c:v>26.3</c:v>
                </c:pt>
                <c:pt idx="43">
                  <c:v>26.9</c:v>
                </c:pt>
                <c:pt idx="44">
                  <c:v>27.5</c:v>
                </c:pt>
                <c:pt idx="45">
                  <c:v>28.2</c:v>
                </c:pt>
                <c:pt idx="46">
                  <c:v>28.8</c:v>
                </c:pt>
                <c:pt idx="47">
                  <c:v>29.5</c:v>
                </c:pt>
                <c:pt idx="48">
                  <c:v>30.2</c:v>
                </c:pt>
                <c:pt idx="49">
                  <c:v>30.9</c:v>
                </c:pt>
                <c:pt idx="50">
                  <c:v>31.6</c:v>
                </c:pt>
                <c:pt idx="51">
                  <c:v>32.4</c:v>
                </c:pt>
                <c:pt idx="52">
                  <c:v>33.1</c:v>
                </c:pt>
                <c:pt idx="53">
                  <c:v>33.9</c:v>
                </c:pt>
                <c:pt idx="54">
                  <c:v>34.700000000000003</c:v>
                </c:pt>
                <c:pt idx="55">
                  <c:v>35.5</c:v>
                </c:pt>
                <c:pt idx="56">
                  <c:v>36.299999999999997</c:v>
                </c:pt>
                <c:pt idx="57">
                  <c:v>37.200000000000003</c:v>
                </c:pt>
                <c:pt idx="58">
                  <c:v>38</c:v>
                </c:pt>
                <c:pt idx="59">
                  <c:v>38.9</c:v>
                </c:pt>
                <c:pt idx="60">
                  <c:v>39.799999999999997</c:v>
                </c:pt>
                <c:pt idx="61">
                  <c:v>40.700000000000003</c:v>
                </c:pt>
                <c:pt idx="62">
                  <c:v>41.7</c:v>
                </c:pt>
                <c:pt idx="63">
                  <c:v>42.7</c:v>
                </c:pt>
                <c:pt idx="64">
                  <c:v>43.7</c:v>
                </c:pt>
                <c:pt idx="65">
                  <c:v>44.7</c:v>
                </c:pt>
                <c:pt idx="66">
                  <c:v>45.7</c:v>
                </c:pt>
                <c:pt idx="67">
                  <c:v>46.8</c:v>
                </c:pt>
                <c:pt idx="68">
                  <c:v>47.9</c:v>
                </c:pt>
                <c:pt idx="69">
                  <c:v>49</c:v>
                </c:pt>
                <c:pt idx="70">
                  <c:v>50.1</c:v>
                </c:pt>
                <c:pt idx="71">
                  <c:v>51.3</c:v>
                </c:pt>
                <c:pt idx="72">
                  <c:v>52.5</c:v>
                </c:pt>
                <c:pt idx="73">
                  <c:v>53.7</c:v>
                </c:pt>
                <c:pt idx="74">
                  <c:v>55</c:v>
                </c:pt>
                <c:pt idx="75">
                  <c:v>56.2</c:v>
                </c:pt>
                <c:pt idx="76">
                  <c:v>57.5</c:v>
                </c:pt>
                <c:pt idx="77">
                  <c:v>58.9</c:v>
                </c:pt>
                <c:pt idx="78">
                  <c:v>60.3</c:v>
                </c:pt>
                <c:pt idx="79">
                  <c:v>61.7</c:v>
                </c:pt>
                <c:pt idx="80">
                  <c:v>63.1</c:v>
                </c:pt>
                <c:pt idx="81">
                  <c:v>64.599999999999994</c:v>
                </c:pt>
                <c:pt idx="82">
                  <c:v>66.099999999999994</c:v>
                </c:pt>
                <c:pt idx="83">
                  <c:v>67.599999999999994</c:v>
                </c:pt>
                <c:pt idx="84">
                  <c:v>69.2</c:v>
                </c:pt>
                <c:pt idx="85">
                  <c:v>70.8</c:v>
                </c:pt>
                <c:pt idx="86">
                  <c:v>72.400000000000006</c:v>
                </c:pt>
                <c:pt idx="87">
                  <c:v>74.099999999999994</c:v>
                </c:pt>
                <c:pt idx="88">
                  <c:v>75.900000000000006</c:v>
                </c:pt>
                <c:pt idx="89">
                  <c:v>77.599999999999994</c:v>
                </c:pt>
                <c:pt idx="90">
                  <c:v>79.400000000000006</c:v>
                </c:pt>
                <c:pt idx="91">
                  <c:v>81.3</c:v>
                </c:pt>
                <c:pt idx="92">
                  <c:v>83.2</c:v>
                </c:pt>
                <c:pt idx="93">
                  <c:v>85.1</c:v>
                </c:pt>
                <c:pt idx="94">
                  <c:v>87.1</c:v>
                </c:pt>
                <c:pt idx="95">
                  <c:v>89.1</c:v>
                </c:pt>
                <c:pt idx="96">
                  <c:v>91.2</c:v>
                </c:pt>
                <c:pt idx="97">
                  <c:v>93.3</c:v>
                </c:pt>
                <c:pt idx="98">
                  <c:v>95.5</c:v>
                </c:pt>
                <c:pt idx="99">
                  <c:v>97.7</c:v>
                </c:pt>
                <c:pt idx="100" formatCode="0">
                  <c:v>100</c:v>
                </c:pt>
                <c:pt idx="101" formatCode="0">
                  <c:v>102</c:v>
                </c:pt>
                <c:pt idx="102" formatCode="0">
                  <c:v>105</c:v>
                </c:pt>
                <c:pt idx="103" formatCode="0">
                  <c:v>107</c:v>
                </c:pt>
                <c:pt idx="104" formatCode="0">
                  <c:v>110</c:v>
                </c:pt>
                <c:pt idx="105" formatCode="0">
                  <c:v>112</c:v>
                </c:pt>
                <c:pt idx="106" formatCode="0">
                  <c:v>115</c:v>
                </c:pt>
                <c:pt idx="107" formatCode="0">
                  <c:v>117</c:v>
                </c:pt>
                <c:pt idx="108" formatCode="0">
                  <c:v>120</c:v>
                </c:pt>
                <c:pt idx="109" formatCode="0">
                  <c:v>123</c:v>
                </c:pt>
                <c:pt idx="110" formatCode="0">
                  <c:v>126</c:v>
                </c:pt>
                <c:pt idx="111" formatCode="0">
                  <c:v>129</c:v>
                </c:pt>
                <c:pt idx="112" formatCode="0">
                  <c:v>132</c:v>
                </c:pt>
                <c:pt idx="113" formatCode="0">
                  <c:v>135</c:v>
                </c:pt>
                <c:pt idx="114" formatCode="0">
                  <c:v>138</c:v>
                </c:pt>
                <c:pt idx="115" formatCode="0">
                  <c:v>141</c:v>
                </c:pt>
                <c:pt idx="116" formatCode="0">
                  <c:v>145</c:v>
                </c:pt>
                <c:pt idx="117" formatCode="0">
                  <c:v>148</c:v>
                </c:pt>
                <c:pt idx="118" formatCode="0">
                  <c:v>151</c:v>
                </c:pt>
                <c:pt idx="119" formatCode="0">
                  <c:v>155</c:v>
                </c:pt>
                <c:pt idx="120" formatCode="0">
                  <c:v>158</c:v>
                </c:pt>
                <c:pt idx="121" formatCode="0">
                  <c:v>162</c:v>
                </c:pt>
                <c:pt idx="122" formatCode="0">
                  <c:v>166</c:v>
                </c:pt>
                <c:pt idx="123" formatCode="0">
                  <c:v>170</c:v>
                </c:pt>
                <c:pt idx="124" formatCode="0">
                  <c:v>174</c:v>
                </c:pt>
                <c:pt idx="125" formatCode="0">
                  <c:v>178</c:v>
                </c:pt>
                <c:pt idx="126" formatCode="0">
                  <c:v>182</c:v>
                </c:pt>
                <c:pt idx="127" formatCode="0">
                  <c:v>186</c:v>
                </c:pt>
                <c:pt idx="128" formatCode="0">
                  <c:v>191</c:v>
                </c:pt>
                <c:pt idx="129" formatCode="0">
                  <c:v>195</c:v>
                </c:pt>
                <c:pt idx="130" formatCode="0">
                  <c:v>200</c:v>
                </c:pt>
                <c:pt idx="131" formatCode="0">
                  <c:v>204</c:v>
                </c:pt>
                <c:pt idx="132" formatCode="0">
                  <c:v>209</c:v>
                </c:pt>
                <c:pt idx="133" formatCode="0">
                  <c:v>214</c:v>
                </c:pt>
                <c:pt idx="134" formatCode="0">
                  <c:v>219</c:v>
                </c:pt>
                <c:pt idx="135" formatCode="0">
                  <c:v>224</c:v>
                </c:pt>
                <c:pt idx="136" formatCode="0">
                  <c:v>229</c:v>
                </c:pt>
                <c:pt idx="137" formatCode="0">
                  <c:v>234</c:v>
                </c:pt>
                <c:pt idx="138" formatCode="0">
                  <c:v>240</c:v>
                </c:pt>
                <c:pt idx="139" formatCode="0">
                  <c:v>245</c:v>
                </c:pt>
                <c:pt idx="140" formatCode="0">
                  <c:v>251</c:v>
                </c:pt>
                <c:pt idx="141" formatCode="0">
                  <c:v>257</c:v>
                </c:pt>
                <c:pt idx="142" formatCode="0">
                  <c:v>263</c:v>
                </c:pt>
                <c:pt idx="143" formatCode="0">
                  <c:v>269</c:v>
                </c:pt>
                <c:pt idx="144" formatCode="0">
                  <c:v>275</c:v>
                </c:pt>
                <c:pt idx="145" formatCode="0">
                  <c:v>282</c:v>
                </c:pt>
                <c:pt idx="146" formatCode="0">
                  <c:v>288</c:v>
                </c:pt>
                <c:pt idx="147" formatCode="0">
                  <c:v>295</c:v>
                </c:pt>
                <c:pt idx="148" formatCode="0">
                  <c:v>302</c:v>
                </c:pt>
                <c:pt idx="149" formatCode="0">
                  <c:v>309</c:v>
                </c:pt>
                <c:pt idx="150" formatCode="0">
                  <c:v>316</c:v>
                </c:pt>
                <c:pt idx="151" formatCode="0">
                  <c:v>324</c:v>
                </c:pt>
                <c:pt idx="152" formatCode="0">
                  <c:v>331</c:v>
                </c:pt>
                <c:pt idx="153" formatCode="0">
                  <c:v>339</c:v>
                </c:pt>
                <c:pt idx="154" formatCode="0">
                  <c:v>347</c:v>
                </c:pt>
                <c:pt idx="155" formatCode="0">
                  <c:v>355</c:v>
                </c:pt>
                <c:pt idx="156" formatCode="0">
                  <c:v>363</c:v>
                </c:pt>
                <c:pt idx="157" formatCode="0">
                  <c:v>372</c:v>
                </c:pt>
                <c:pt idx="158" formatCode="0">
                  <c:v>380</c:v>
                </c:pt>
                <c:pt idx="159" formatCode="0">
                  <c:v>389</c:v>
                </c:pt>
                <c:pt idx="160" formatCode="0">
                  <c:v>398</c:v>
                </c:pt>
                <c:pt idx="161" formatCode="0">
                  <c:v>407</c:v>
                </c:pt>
                <c:pt idx="162" formatCode="0">
                  <c:v>417</c:v>
                </c:pt>
                <c:pt idx="163" formatCode="0">
                  <c:v>427</c:v>
                </c:pt>
                <c:pt idx="164" formatCode="0">
                  <c:v>437</c:v>
                </c:pt>
                <c:pt idx="165" formatCode="0">
                  <c:v>447</c:v>
                </c:pt>
                <c:pt idx="166" formatCode="0">
                  <c:v>457</c:v>
                </c:pt>
                <c:pt idx="167" formatCode="0">
                  <c:v>468</c:v>
                </c:pt>
                <c:pt idx="168" formatCode="0">
                  <c:v>479</c:v>
                </c:pt>
                <c:pt idx="169" formatCode="0">
                  <c:v>490</c:v>
                </c:pt>
                <c:pt idx="170" formatCode="0">
                  <c:v>501</c:v>
                </c:pt>
                <c:pt idx="171" formatCode="0">
                  <c:v>513</c:v>
                </c:pt>
                <c:pt idx="172" formatCode="0">
                  <c:v>525</c:v>
                </c:pt>
                <c:pt idx="173" formatCode="0">
                  <c:v>537</c:v>
                </c:pt>
                <c:pt idx="174" formatCode="0">
                  <c:v>550</c:v>
                </c:pt>
                <c:pt idx="175" formatCode="0">
                  <c:v>562</c:v>
                </c:pt>
                <c:pt idx="176" formatCode="0">
                  <c:v>575</c:v>
                </c:pt>
                <c:pt idx="177" formatCode="0">
                  <c:v>589</c:v>
                </c:pt>
                <c:pt idx="178" formatCode="0">
                  <c:v>603</c:v>
                </c:pt>
                <c:pt idx="179" formatCode="0">
                  <c:v>617</c:v>
                </c:pt>
                <c:pt idx="180" formatCode="0">
                  <c:v>631</c:v>
                </c:pt>
                <c:pt idx="181" formatCode="0">
                  <c:v>646</c:v>
                </c:pt>
                <c:pt idx="182" formatCode="0">
                  <c:v>661</c:v>
                </c:pt>
                <c:pt idx="183" formatCode="0">
                  <c:v>676</c:v>
                </c:pt>
                <c:pt idx="184" formatCode="0">
                  <c:v>692</c:v>
                </c:pt>
                <c:pt idx="185" formatCode="0">
                  <c:v>708</c:v>
                </c:pt>
                <c:pt idx="186" formatCode="0">
                  <c:v>724</c:v>
                </c:pt>
                <c:pt idx="187" formatCode="0">
                  <c:v>741</c:v>
                </c:pt>
                <c:pt idx="188" formatCode="0">
                  <c:v>759</c:v>
                </c:pt>
                <c:pt idx="189" formatCode="0">
                  <c:v>776</c:v>
                </c:pt>
                <c:pt idx="190" formatCode="0">
                  <c:v>794</c:v>
                </c:pt>
                <c:pt idx="191" formatCode="0">
                  <c:v>813</c:v>
                </c:pt>
                <c:pt idx="192" formatCode="0">
                  <c:v>832</c:v>
                </c:pt>
                <c:pt idx="193" formatCode="0">
                  <c:v>851</c:v>
                </c:pt>
                <c:pt idx="194" formatCode="0">
                  <c:v>871</c:v>
                </c:pt>
                <c:pt idx="195" formatCode="0">
                  <c:v>891</c:v>
                </c:pt>
                <c:pt idx="196" formatCode="0">
                  <c:v>912</c:v>
                </c:pt>
                <c:pt idx="197" formatCode="0">
                  <c:v>933</c:v>
                </c:pt>
                <c:pt idx="198" formatCode="0">
                  <c:v>955</c:v>
                </c:pt>
                <c:pt idx="199" formatCode="0">
                  <c:v>977</c:v>
                </c:pt>
                <c:pt idx="200" formatCode="0">
                  <c:v>1000</c:v>
                </c:pt>
              </c:numCache>
            </c:numRef>
          </c:xVal>
          <c:yVal>
            <c:numRef>
              <c:f>Calculations!$T$11:$T$211</c:f>
              <c:numCache>
                <c:formatCode>0.00</c:formatCode>
                <c:ptCount val="201"/>
                <c:pt idx="0">
                  <c:v>8.7968718900531968</c:v>
                </c:pt>
                <c:pt idx="1">
                  <c:v>8.9570643815889763</c:v>
                </c:pt>
                <c:pt idx="2">
                  <c:v>9.2134876953240674</c:v>
                </c:pt>
                <c:pt idx="3">
                  <c:v>9.3960505216690944</c:v>
                </c:pt>
                <c:pt idx="4">
                  <c:v>9.688958142723811</c:v>
                </c:pt>
                <c:pt idx="5">
                  <c:v>9.8980108528079924</c:v>
                </c:pt>
                <c:pt idx="6">
                  <c:v>10.234323284847715</c:v>
                </c:pt>
                <c:pt idx="7">
                  <c:v>10.475038615262495</c:v>
                </c:pt>
                <c:pt idx="8">
                  <c:v>10.86348231441557</c:v>
                </c:pt>
                <c:pt idx="9">
                  <c:v>11.288349319285061</c:v>
                </c:pt>
                <c:pt idx="10">
                  <c:v>11.754250377747642</c:v>
                </c:pt>
                <c:pt idx="11">
                  <c:v>12.266539134615121</c:v>
                </c:pt>
                <c:pt idx="12">
                  <c:v>12.831440139027187</c:v>
                </c:pt>
                <c:pt idx="13">
                  <c:v>13.456191976639296</c:v>
                </c:pt>
                <c:pt idx="14">
                  <c:v>14.14919946408166</c:v>
                </c:pt>
                <c:pt idx="15">
                  <c:v>14.920180100759611</c:v>
                </c:pt>
                <c:pt idx="16">
                  <c:v>16.088908182636082</c:v>
                </c:pt>
                <c:pt idx="17">
                  <c:v>17.087601521560217</c:v>
                </c:pt>
                <c:pt idx="18">
                  <c:v>18.206568140758574</c:v>
                </c:pt>
                <c:pt idx="19">
                  <c:v>19.910244235807376</c:v>
                </c:pt>
                <c:pt idx="20">
                  <c:v>21.362499290608817</c:v>
                </c:pt>
                <c:pt idx="21">
                  <c:v>23.540014529066671</c:v>
                </c:pt>
                <c:pt idx="22">
                  <c:v>25.960107597159162</c:v>
                </c:pt>
                <c:pt idx="23">
                  <c:v>28.492308491754997</c:v>
                </c:pt>
                <c:pt idx="24">
                  <c:v>30.843955144482116</c:v>
                </c:pt>
                <c:pt idx="25">
                  <c:v>32.545998021745049</c:v>
                </c:pt>
                <c:pt idx="26">
                  <c:v>33.104654006356085</c:v>
                </c:pt>
                <c:pt idx="27">
                  <c:v>32.312304304221513</c:v>
                </c:pt>
                <c:pt idx="28">
                  <c:v>29.829096085620975</c:v>
                </c:pt>
                <c:pt idx="29">
                  <c:v>27.270319382911211</c:v>
                </c:pt>
                <c:pt idx="30">
                  <c:v>24.043431204422756</c:v>
                </c:pt>
                <c:pt idx="31">
                  <c:v>21.699360305391789</c:v>
                </c:pt>
                <c:pt idx="32">
                  <c:v>19.17466735072481</c:v>
                </c:pt>
                <c:pt idx="33">
                  <c:v>17.086426146152242</c:v>
                </c:pt>
                <c:pt idx="34">
                  <c:v>15.372514880635045</c:v>
                </c:pt>
                <c:pt idx="35">
                  <c:v>13.964426302351768</c:v>
                </c:pt>
                <c:pt idx="36">
                  <c:v>12.802434518887848</c:v>
                </c:pt>
                <c:pt idx="37">
                  <c:v>11.838457416578768</c:v>
                </c:pt>
                <c:pt idx="38">
                  <c:v>10.890802944375107</c:v>
                </c:pt>
                <c:pt idx="39">
                  <c:v>10.242080461191501</c:v>
                </c:pt>
                <c:pt idx="40">
                  <c:v>9.6007670533422349</c:v>
                </c:pt>
                <c:pt idx="41">
                  <c:v>9.0828713396362186</c:v>
                </c:pt>
                <c:pt idx="42">
                  <c:v>8.6673861593539243</c:v>
                </c:pt>
                <c:pt idx="43">
                  <c:v>8.3384590498917799</c:v>
                </c:pt>
                <c:pt idx="44">
                  <c:v>8.0840115215896926</c:v>
                </c:pt>
                <c:pt idx="45">
                  <c:v>7.8690345158932775</c:v>
                </c:pt>
                <c:pt idx="46">
                  <c:v>7.746917600865439</c:v>
                </c:pt>
                <c:pt idx="47">
                  <c:v>7.6694768995364457</c:v>
                </c:pt>
                <c:pt idx="48">
                  <c:v>7.6560624838526889</c:v>
                </c:pt>
                <c:pt idx="49">
                  <c:v>7.7020571472110442</c:v>
                </c:pt>
                <c:pt idx="50">
                  <c:v>7.8042685502786071</c:v>
                </c:pt>
                <c:pt idx="51">
                  <c:v>7.9874136978157821</c:v>
                </c:pt>
                <c:pt idx="52">
                  <c:v>8.2047405246544276</c:v>
                </c:pt>
                <c:pt idx="53">
                  <c:v>8.518585573312297</c:v>
                </c:pt>
                <c:pt idx="54">
                  <c:v>8.9040117731252675</c:v>
                </c:pt>
                <c:pt idx="55">
                  <c:v>9.3643983155355386</c:v>
                </c:pt>
                <c:pt idx="56">
                  <c:v>9.9047977912406875</c:v>
                </c:pt>
                <c:pt idx="57">
                  <c:v>10.616975129268951</c:v>
                </c:pt>
                <c:pt idx="58">
                  <c:v>11.352510761099657</c:v>
                </c:pt>
                <c:pt idx="59">
                  <c:v>12.309676382259942</c:v>
                </c:pt>
                <c:pt idx="60">
                  <c:v>13.422664129833112</c:v>
                </c:pt>
                <c:pt idx="61">
                  <c:v>14.713919337248567</c:v>
                </c:pt>
                <c:pt idx="62">
                  <c:v>16.387917038922531</c:v>
                </c:pt>
                <c:pt idx="63">
                  <c:v>18.345793743083174</c:v>
                </c:pt>
                <c:pt idx="64">
                  <c:v>20.609313663577204</c:v>
                </c:pt>
                <c:pt idx="65">
                  <c:v>23.166436718596636</c:v>
                </c:pt>
                <c:pt idx="66">
                  <c:v>25.931835354487177</c:v>
                </c:pt>
                <c:pt idx="67">
                  <c:v>28.957953733288125</c:v>
                </c:pt>
                <c:pt idx="68">
                  <c:v>31.485370974593319</c:v>
                </c:pt>
                <c:pt idx="69">
                  <c:v>32.934454567265419</c:v>
                </c:pt>
                <c:pt idx="70">
                  <c:v>32.981876422134839</c:v>
                </c:pt>
                <c:pt idx="71">
                  <c:v>31.642403667307907</c:v>
                </c:pt>
                <c:pt idx="72">
                  <c:v>29.474108370156948</c:v>
                </c:pt>
                <c:pt idx="73">
                  <c:v>27.071667512859371</c:v>
                </c:pt>
                <c:pt idx="74">
                  <c:v>24.599467568185577</c:v>
                </c:pt>
                <c:pt idx="75">
                  <c:v>22.579917167366887</c:v>
                </c:pt>
                <c:pt idx="76">
                  <c:v>20.702142171106427</c:v>
                </c:pt>
                <c:pt idx="77">
                  <c:v>19.006949193329575</c:v>
                </c:pt>
                <c:pt idx="78">
                  <c:v>17.596017823617895</c:v>
                </c:pt>
                <c:pt idx="79">
                  <c:v>16.415258530733176</c:v>
                </c:pt>
                <c:pt idx="80">
                  <c:v>15.419250597580366</c:v>
                </c:pt>
                <c:pt idx="81">
                  <c:v>14.51609526413381</c:v>
                </c:pt>
                <c:pt idx="82">
                  <c:v>13.74884111743583</c:v>
                </c:pt>
                <c:pt idx="83">
                  <c:v>13.090871803887724</c:v>
                </c:pt>
                <c:pt idx="84">
                  <c:v>12.48647584530694</c:v>
                </c:pt>
                <c:pt idx="85">
                  <c:v>11.963950988408586</c:v>
                </c:pt>
                <c:pt idx="86">
                  <c:v>11.508482934855421</c:v>
                </c:pt>
                <c:pt idx="87">
                  <c:v>11.085133089506952</c:v>
                </c:pt>
                <c:pt idx="88">
                  <c:v>10.69314260264955</c:v>
                </c:pt>
                <c:pt idx="89">
                  <c:v>10.367133839138113</c:v>
                </c:pt>
                <c:pt idx="90">
                  <c:v>10.061123743398722</c:v>
                </c:pt>
                <c:pt idx="91">
                  <c:v>9.7749277311645848</c:v>
                </c:pt>
                <c:pt idx="92">
                  <c:v>9.5206460045713381</c:v>
                </c:pt>
                <c:pt idx="93">
                  <c:v>9.2934438106500323</c:v>
                </c:pt>
                <c:pt idx="94">
                  <c:v>9.0792361894525726</c:v>
                </c:pt>
                <c:pt idx="95">
                  <c:v>8.8869609119444153</c:v>
                </c:pt>
                <c:pt idx="96">
                  <c:v>8.7053411523719753</c:v>
                </c:pt>
                <c:pt idx="97">
                  <c:v>8.5416294389986831</c:v>
                </c:pt>
                <c:pt idx="98">
                  <c:v>8.3867188574630358</c:v>
                </c:pt>
                <c:pt idx="99">
                  <c:v>8.2465424672568588</c:v>
                </c:pt>
                <c:pt idx="100">
                  <c:v>8.1136862440733992</c:v>
                </c:pt>
                <c:pt idx="101">
                  <c:v>8.0081399991740625</c:v>
                </c:pt>
                <c:pt idx="102">
                  <c:v>7.8649496066157347</c:v>
                </c:pt>
                <c:pt idx="103">
                  <c:v>7.7783478446332053</c:v>
                </c:pt>
                <c:pt idx="104">
                  <c:v>7.6599690416351445</c:v>
                </c:pt>
                <c:pt idx="105">
                  <c:v>7.5878650457112959</c:v>
                </c:pt>
                <c:pt idx="106">
                  <c:v>7.4886685323977709</c:v>
                </c:pt>
                <c:pt idx="107">
                  <c:v>7.4278813837511644</c:v>
                </c:pt>
                <c:pt idx="108">
                  <c:v>7.3437894659925504</c:v>
                </c:pt>
                <c:pt idx="109">
                  <c:v>7.2672570755753121</c:v>
                </c:pt>
                <c:pt idx="110">
                  <c:v>7.1973713720000365</c:v>
                </c:pt>
                <c:pt idx="111">
                  <c:v>7.1333571091600776</c:v>
                </c:pt>
                <c:pt idx="112">
                  <c:v>7.0745519548717333</c:v>
                </c:pt>
                <c:pt idx="113">
                  <c:v>7.0203869057410975</c:v>
                </c:pt>
                <c:pt idx="114">
                  <c:v>6.9703706156509329</c:v>
                </c:pt>
                <c:pt idx="115">
                  <c:v>6.9240767584562741</c:v>
                </c:pt>
                <c:pt idx="116">
                  <c:v>6.8675066633261759</c:v>
                </c:pt>
                <c:pt idx="117">
                  <c:v>6.828532600067768</c:v>
                </c:pt>
                <c:pt idx="118">
                  <c:v>6.792210938008866</c:v>
                </c:pt>
                <c:pt idx="119">
                  <c:v>6.7474940175323628</c:v>
                </c:pt>
                <c:pt idx="120">
                  <c:v>6.7164678013239865</c:v>
                </c:pt>
                <c:pt idx="121">
                  <c:v>6.6780993955187098</c:v>
                </c:pt>
                <c:pt idx="122">
                  <c:v>6.6428135110600355</c:v>
                </c:pt>
                <c:pt idx="123">
                  <c:v>6.610281101857252</c:v>
                </c:pt>
                <c:pt idx="124">
                  <c:v>6.5802167201681456</c:v>
                </c:pt>
                <c:pt idx="125">
                  <c:v>6.5523716544859072</c:v>
                </c:pt>
                <c:pt idx="126">
                  <c:v>6.5265283114966399</c:v>
                </c:pt>
                <c:pt idx="127">
                  <c:v>6.5024955881495341</c:v>
                </c:pt>
                <c:pt idx="128">
                  <c:v>6.4747461421989705</c:v>
                </c:pt>
                <c:pt idx="129">
                  <c:v>6.4542008154444472</c:v>
                </c:pt>
                <c:pt idx="130">
                  <c:v>6.43037619689248</c:v>
                </c:pt>
                <c:pt idx="131">
                  <c:v>6.4126647013915195</c:v>
                </c:pt>
                <c:pt idx="132">
                  <c:v>6.3920475159898071</c:v>
                </c:pt>
                <c:pt idx="133">
                  <c:v>6.3729625030176189</c:v>
                </c:pt>
                <c:pt idx="134">
                  <c:v>6.3552593295699866</c:v>
                </c:pt>
                <c:pt idx="135">
                  <c:v>6.338805893792812</c:v>
                </c:pt>
                <c:pt idx="136">
                  <c:v>6.3234857051325646</c:v>
                </c:pt>
                <c:pt idx="137">
                  <c:v>6.3091956977314441</c:v>
                </c:pt>
                <c:pt idx="138">
                  <c:v>6.2932794535683518</c:v>
                </c:pt>
                <c:pt idx="139">
                  <c:v>6.2809479009722029</c:v>
                </c:pt>
                <c:pt idx="140">
                  <c:v>6.2671620240025421</c:v>
                </c:pt>
                <c:pt idx="141">
                  <c:v>6.2543778623682043</c:v>
                </c:pt>
                <c:pt idx="142">
                  <c:v>6.2424996702052082</c:v>
                </c:pt>
                <c:pt idx="143">
                  <c:v>6.2314429799502227</c:v>
                </c:pt>
                <c:pt idx="144">
                  <c:v>6.2211330315863922</c:v>
                </c:pt>
                <c:pt idx="145">
                  <c:v>6.2099604237430919</c:v>
                </c:pt>
                <c:pt idx="146">
                  <c:v>6.2010503751096691</c:v>
                </c:pt>
                <c:pt idx="147">
                  <c:v>6.1913601078197606</c:v>
                </c:pt>
                <c:pt idx="148">
                  <c:v>6.1823596110955812</c:v>
                </c:pt>
                <c:pt idx="149">
                  <c:v>6.1739844452341615</c:v>
                </c:pt>
                <c:pt idx="150">
                  <c:v>6.1661775758287529</c:v>
                </c:pt>
                <c:pt idx="151">
                  <c:v>6.1578866198958107</c:v>
                </c:pt>
                <c:pt idx="152">
                  <c:v>6.1511341157074115</c:v>
                </c:pt>
                <c:pt idx="153">
                  <c:v>6.1439376368792411</c:v>
                </c:pt>
                <c:pt idx="154">
                  <c:v>6.1372463694941404</c:v>
                </c:pt>
                <c:pt idx="155">
                  <c:v>6.1310138340215543</c:v>
                </c:pt>
                <c:pt idx="156">
                  <c:v>6.1251988043757111</c:v>
                </c:pt>
                <c:pt idx="157">
                  <c:v>6.1191104415447146</c:v>
                </c:pt>
                <c:pt idx="158">
                  <c:v>6.1140657565618115</c:v>
                </c:pt>
                <c:pt idx="159">
                  <c:v>6.108766199332746</c:v>
                </c:pt>
                <c:pt idx="160">
                  <c:v>6.1038293138828426</c:v>
                </c:pt>
                <c:pt idx="161">
                  <c:v>6.0992226005995978</c:v>
                </c:pt>
                <c:pt idx="162">
                  <c:v>6.094456197261219</c:v>
                </c:pt>
                <c:pt idx="163">
                  <c:v>6.0900265774686844</c:v>
                </c:pt>
                <c:pt idx="164">
                  <c:v>6.0859026219863637</c:v>
                </c:pt>
                <c:pt idx="165">
                  <c:v>6.0820567375718131</c:v>
                </c:pt>
                <c:pt idx="166">
                  <c:v>6.0784643865822225</c:v>
                </c:pt>
                <c:pt idx="167">
                  <c:v>6.0747795879115802</c:v>
                </c:pt>
                <c:pt idx="168">
                  <c:v>6.0713492340602722</c:v>
                </c:pt>
                <c:pt idx="169">
                  <c:v>6.0681503542069581</c:v>
                </c:pt>
                <c:pt idx="170">
                  <c:v>6.065162519937533</c:v>
                </c:pt>
                <c:pt idx="171">
                  <c:v>6.0621224074135878</c:v>
                </c:pt>
                <c:pt idx="172">
                  <c:v>6.0592907652816788</c:v>
                </c:pt>
                <c:pt idx="173">
                  <c:v>6.0566489106080192</c:v>
                </c:pt>
                <c:pt idx="174">
                  <c:v>6.0539818266948648</c:v>
                </c:pt>
                <c:pt idx="175">
                  <c:v>6.0516840142223911</c:v>
                </c:pt>
                <c:pt idx="176">
                  <c:v>6.0493568230116574</c:v>
                </c:pt>
                <c:pt idx="177">
                  <c:v>6.0470225108990645</c:v>
                </c:pt>
                <c:pt idx="178">
                  <c:v>6.0448503074556657</c:v>
                </c:pt>
                <c:pt idx="179">
                  <c:v>6.042825513212283</c:v>
                </c:pt>
                <c:pt idx="180">
                  <c:v>6.040935060904685</c:v>
                </c:pt>
                <c:pt idx="181">
                  <c:v>6.0390454467499577</c:v>
                </c:pt>
                <c:pt idx="182">
                  <c:v>6.0372839403093028</c:v>
                </c:pt>
                <c:pt idx="183">
                  <c:v>6.035639198868374</c:v>
                </c:pt>
                <c:pt idx="184">
                  <c:v>6.0340021355444078</c:v>
                </c:pt>
                <c:pt idx="185">
                  <c:v>6.0324755000089176</c:v>
                </c:pt>
                <c:pt idx="186">
                  <c:v>6.031049565074305</c:v>
                </c:pt>
                <c:pt idx="187">
                  <c:v>6.0296351571750249</c:v>
                </c:pt>
                <c:pt idx="188">
                  <c:v>6.0282404959769549</c:v>
                </c:pt>
                <c:pt idx="189">
                  <c:v>6.0270118970506363</c:v>
                </c:pt>
                <c:pt idx="190">
                  <c:v>6.0257965125655284</c:v>
                </c:pt>
                <c:pt idx="191">
                  <c:v>6.0246005941855598</c:v>
                </c:pt>
                <c:pt idx="192">
                  <c:v>6.0234860419674767</c:v>
                </c:pt>
                <c:pt idx="193">
                  <c:v>6.0224456311101235</c:v>
                </c:pt>
                <c:pt idx="194">
                  <c:v>6.0214234903367334</c:v>
                </c:pt>
                <c:pt idx="195">
                  <c:v>6.0204696785482934</c:v>
                </c:pt>
                <c:pt idx="196">
                  <c:v>6.0195351997571143</c:v>
                </c:pt>
                <c:pt idx="197">
                  <c:v>6.0186633365130557</c:v>
                </c:pt>
                <c:pt idx="198">
                  <c:v>6.0178111559293122</c:v>
                </c:pt>
                <c:pt idx="199">
                  <c:v>6.0170160827922974</c:v>
                </c:pt>
                <c:pt idx="200">
                  <c:v>6.0162405154812557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99E-43AC-AEE7-D4E271C96A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26208"/>
        <c:axId val="1924051936"/>
      </c:scatterChart>
      <c:valAx>
        <c:axId val="9226208"/>
        <c:scaling>
          <c:logBase val="10"/>
          <c:orientation val="minMax"/>
          <c:max val="1000"/>
          <c:min val="10"/>
        </c:scaling>
        <c:delete val="0"/>
        <c:axPos val="b"/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 [Hz]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4051936"/>
        <c:crosses val="autoZero"/>
        <c:crossBetween val="midCat"/>
      </c:valAx>
      <c:valAx>
        <c:axId val="1924051936"/>
        <c:scaling>
          <c:orientation val="minMax"/>
          <c:max val="5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Impedance  [Ohm]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6208"/>
        <c:crosses val="autoZero"/>
        <c:crossBetween val="midCat"/>
        <c:maj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1" l="1" r="1" t="1" header="0" footer="0"/>
    <c:pageSetup orientation="landscape" horizontalDpi="-3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15</xdr:col>
      <xdr:colOff>371475</xdr:colOff>
      <xdr:row>40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D6CA6F2-0FEB-4D0E-A613-DB64134DB8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15</xdr:col>
      <xdr:colOff>676275</xdr:colOff>
      <xdr:row>7</xdr:row>
      <xdr:rowOff>180975</xdr:rowOff>
    </xdr:from>
    <xdr:to>
      <xdr:col>27</xdr:col>
      <xdr:colOff>333375</xdr:colOff>
      <xdr:row>40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F2DE370-42C0-4087-BD17-37F47CA4DD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4</xdr:col>
      <xdr:colOff>0</xdr:colOff>
      <xdr:row>42</xdr:row>
      <xdr:rowOff>0</xdr:rowOff>
    </xdr:from>
    <xdr:to>
      <xdr:col>15</xdr:col>
      <xdr:colOff>371475</xdr:colOff>
      <xdr:row>73</xdr:row>
      <xdr:rowOff>38100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C187F78-CC33-4061-8BF7-F5CBCA84AF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16</xdr:col>
      <xdr:colOff>0</xdr:colOff>
      <xdr:row>42</xdr:row>
      <xdr:rowOff>0</xdr:rowOff>
    </xdr:from>
    <xdr:to>
      <xdr:col>27</xdr:col>
      <xdr:colOff>371475</xdr:colOff>
      <xdr:row>73</xdr:row>
      <xdr:rowOff>38100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245CEE1-1A20-407F-9355-C7ED8AE808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C3AA99-E13B-4DBD-BEFD-2F3B02566724}">
  <sheetPr>
    <pageSetUpPr fitToPage="1"/>
  </sheetPr>
  <dimension ref="A2:AJ252"/>
  <sheetViews>
    <sheetView zoomScaleNormal="100" workbookViewId="0">
      <selection activeCell="D26" sqref="D26"/>
    </sheetView>
  </sheetViews>
  <sheetFormatPr defaultRowHeight="15" x14ac:dyDescent="0.25"/>
  <cols>
    <col min="1" max="1" width="2.7109375" style="70" customWidth="1"/>
    <col min="2" max="2" width="31.7109375" style="73" customWidth="1"/>
    <col min="3" max="10" width="10.7109375" style="70" customWidth="1"/>
    <col min="11" max="11" width="10.7109375" style="71" customWidth="1"/>
    <col min="12" max="15" width="10.7109375" style="70" customWidth="1"/>
    <col min="16" max="17" width="10.7109375" style="72" customWidth="1"/>
    <col min="18" max="18" width="10.7109375" style="71" customWidth="1"/>
    <col min="19" max="23" width="10.7109375" style="70" customWidth="1"/>
    <col min="24" max="28" width="10.7109375" style="73" customWidth="1"/>
    <col min="29" max="30" width="10.7109375" style="74" customWidth="1"/>
    <col min="31" max="31" width="10.7109375" style="73" customWidth="1"/>
    <col min="32" max="32" width="10.7109375" style="71" customWidth="1"/>
    <col min="33" max="33" width="9.140625" style="71"/>
    <col min="34" max="16384" width="9.140625" style="70"/>
  </cols>
  <sheetData>
    <row r="2" spans="1:26" ht="26.25" x14ac:dyDescent="0.4">
      <c r="B2" s="95" t="s">
        <v>52</v>
      </c>
    </row>
    <row r="4" spans="1:26" ht="30" customHeight="1" x14ac:dyDescent="0.25">
      <c r="A4" s="75"/>
      <c r="B4" s="105" t="s">
        <v>62</v>
      </c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76"/>
      <c r="R4" s="76"/>
      <c r="S4" s="76"/>
      <c r="T4" s="76"/>
      <c r="U4" s="76"/>
      <c r="V4" s="76"/>
      <c r="W4" s="76"/>
      <c r="X4" s="76"/>
      <c r="Y4" s="76"/>
      <c r="Z4" s="76"/>
    </row>
    <row r="5" spans="1:26" x14ac:dyDescent="0.25">
      <c r="E5" s="77"/>
    </row>
    <row r="6" spans="1:26" x14ac:dyDescent="0.25">
      <c r="B6" s="4" t="s">
        <v>64</v>
      </c>
    </row>
    <row r="7" spans="1:26" x14ac:dyDescent="0.25">
      <c r="B7" s="102" t="s">
        <v>65</v>
      </c>
      <c r="K7" s="70"/>
      <c r="L7" s="71"/>
      <c r="M7" s="71"/>
      <c r="N7" s="71"/>
      <c r="O7" s="71"/>
    </row>
    <row r="8" spans="1:26" ht="15" customHeight="1" x14ac:dyDescent="0.3">
      <c r="B8" s="2"/>
      <c r="I8" s="78"/>
    </row>
    <row r="9" spans="1:26" ht="15" customHeight="1" x14ac:dyDescent="0.25">
      <c r="B9" s="90" t="s">
        <v>2</v>
      </c>
    </row>
    <row r="10" spans="1:26" ht="15" customHeight="1" x14ac:dyDescent="0.25">
      <c r="B10" s="4" t="s">
        <v>3</v>
      </c>
      <c r="C10" s="94">
        <v>1.204</v>
      </c>
      <c r="D10" s="80"/>
      <c r="E10" s="80"/>
      <c r="F10" s="80"/>
      <c r="G10" s="80"/>
      <c r="H10" s="80"/>
    </row>
    <row r="11" spans="1:26" ht="15" customHeight="1" x14ac:dyDescent="0.25">
      <c r="B11" s="4" t="s">
        <v>4</v>
      </c>
      <c r="C11" s="94">
        <v>343.2</v>
      </c>
      <c r="D11" s="80"/>
      <c r="E11" s="80"/>
      <c r="F11" s="80"/>
      <c r="G11" s="80"/>
      <c r="H11" s="80"/>
    </row>
    <row r="12" spans="1:26" ht="15" customHeight="1" x14ac:dyDescent="0.25">
      <c r="B12" s="2"/>
      <c r="C12" s="80"/>
      <c r="D12" s="80"/>
      <c r="E12" s="80"/>
      <c r="F12" s="80"/>
      <c r="G12" s="80"/>
      <c r="H12" s="80"/>
    </row>
    <row r="13" spans="1:26" ht="15" customHeight="1" x14ac:dyDescent="0.25">
      <c r="B13" s="90" t="s">
        <v>5</v>
      </c>
      <c r="C13" s="80"/>
      <c r="D13" s="80"/>
      <c r="E13" s="80"/>
      <c r="F13" s="80"/>
      <c r="G13" s="80"/>
      <c r="H13" s="80"/>
    </row>
    <row r="14" spans="1:26" ht="15" customHeight="1" x14ac:dyDescent="0.25">
      <c r="B14" s="4" t="s">
        <v>6</v>
      </c>
      <c r="C14" s="96">
        <v>2.24E-2</v>
      </c>
      <c r="D14" s="80"/>
      <c r="E14" s="80"/>
      <c r="F14" s="80"/>
      <c r="G14" s="80"/>
      <c r="H14" s="80"/>
    </row>
    <row r="15" spans="1:26" ht="15" customHeight="1" x14ac:dyDescent="0.25">
      <c r="B15" s="4" t="s">
        <v>7</v>
      </c>
      <c r="C15" s="97">
        <v>9.4399999999999998E-2</v>
      </c>
      <c r="D15" s="81"/>
      <c r="E15" s="81"/>
      <c r="F15" s="81"/>
      <c r="G15" s="81"/>
      <c r="H15" s="81"/>
    </row>
    <row r="16" spans="1:26" ht="15" customHeight="1" x14ac:dyDescent="0.25">
      <c r="B16" s="4" t="s">
        <v>8</v>
      </c>
      <c r="C16" s="98">
        <v>3359</v>
      </c>
      <c r="D16" s="74"/>
      <c r="E16" s="74"/>
      <c r="F16" s="74"/>
      <c r="G16" s="74"/>
      <c r="H16" s="74"/>
    </row>
    <row r="17" spans="2:36" ht="15" customHeight="1" x14ac:dyDescent="0.25">
      <c r="B17" s="4" t="s">
        <v>9</v>
      </c>
      <c r="C17" s="99">
        <v>5.94</v>
      </c>
      <c r="D17" s="82"/>
      <c r="E17" s="82"/>
      <c r="F17" s="82"/>
      <c r="G17" s="82"/>
      <c r="H17" s="82"/>
    </row>
    <row r="18" spans="2:36" ht="15" customHeight="1" x14ac:dyDescent="0.25">
      <c r="B18" s="4" t="s">
        <v>63</v>
      </c>
      <c r="C18" s="99">
        <v>15.11</v>
      </c>
      <c r="D18" s="82"/>
      <c r="E18" s="82"/>
      <c r="F18" s="82"/>
      <c r="G18" s="82"/>
      <c r="H18" s="82"/>
    </row>
    <row r="19" spans="2:36" s="73" customFormat="1" ht="15" customHeight="1" x14ac:dyDescent="0.25">
      <c r="B19" s="4" t="s">
        <v>10</v>
      </c>
      <c r="C19" s="99">
        <v>6</v>
      </c>
      <c r="D19" s="82"/>
      <c r="E19" s="82"/>
      <c r="F19" s="82"/>
      <c r="G19" s="82"/>
      <c r="H19" s="82"/>
      <c r="I19" s="70"/>
      <c r="J19" s="70"/>
      <c r="K19" s="71"/>
      <c r="L19" s="70"/>
      <c r="M19" s="70"/>
      <c r="N19" s="70"/>
      <c r="O19" s="70"/>
      <c r="P19" s="72"/>
      <c r="Q19" s="72"/>
      <c r="R19" s="71"/>
      <c r="S19" s="70"/>
      <c r="T19" s="70"/>
      <c r="U19" s="70"/>
      <c r="V19" s="70"/>
      <c r="W19" s="70"/>
      <c r="AC19" s="74"/>
      <c r="AD19" s="74"/>
      <c r="AF19" s="71"/>
      <c r="AG19" s="71"/>
      <c r="AH19" s="70"/>
      <c r="AI19" s="70"/>
      <c r="AJ19" s="70"/>
    </row>
    <row r="20" spans="2:36" s="73" customFormat="1" ht="15" customHeight="1" x14ac:dyDescent="0.25">
      <c r="B20" s="4" t="s">
        <v>11</v>
      </c>
      <c r="C20" s="97">
        <v>0</v>
      </c>
      <c r="D20" s="82"/>
      <c r="E20" s="82"/>
      <c r="F20" s="82"/>
      <c r="G20" s="82"/>
      <c r="H20" s="82"/>
      <c r="I20" s="70"/>
      <c r="J20" s="70"/>
      <c r="K20" s="71"/>
      <c r="L20" s="70"/>
      <c r="M20" s="70"/>
      <c r="N20" s="70"/>
      <c r="O20" s="70"/>
      <c r="P20" s="72"/>
      <c r="Q20" s="72"/>
      <c r="R20" s="71"/>
      <c r="S20" s="70"/>
      <c r="T20" s="70"/>
      <c r="U20" s="70"/>
      <c r="V20" s="70"/>
      <c r="W20" s="70"/>
      <c r="AC20" s="74"/>
      <c r="AD20" s="74"/>
      <c r="AF20" s="71"/>
      <c r="AG20" s="71"/>
      <c r="AH20" s="70"/>
      <c r="AI20" s="70"/>
      <c r="AJ20" s="70"/>
    </row>
    <row r="21" spans="2:36" s="73" customFormat="1" ht="15" customHeight="1" x14ac:dyDescent="0.25">
      <c r="B21" s="4"/>
      <c r="I21" s="70"/>
      <c r="J21" s="70"/>
      <c r="K21" s="71"/>
      <c r="L21" s="70"/>
      <c r="M21" s="70"/>
      <c r="N21" s="70"/>
      <c r="O21" s="70"/>
      <c r="P21" s="72"/>
      <c r="Q21" s="72"/>
      <c r="R21" s="71"/>
      <c r="S21" s="70"/>
      <c r="T21" s="70"/>
      <c r="U21" s="70"/>
      <c r="V21" s="70"/>
      <c r="W21" s="70"/>
      <c r="AC21" s="74"/>
      <c r="AD21" s="74"/>
      <c r="AF21" s="71"/>
      <c r="AG21" s="71"/>
      <c r="AH21" s="70"/>
      <c r="AI21" s="70"/>
      <c r="AJ21" s="70"/>
    </row>
    <row r="22" spans="2:36" s="74" customFormat="1" ht="15" customHeight="1" x14ac:dyDescent="0.25">
      <c r="B22" s="90" t="s">
        <v>12</v>
      </c>
      <c r="C22" s="73"/>
      <c r="D22" s="73"/>
      <c r="E22" s="73"/>
      <c r="F22" s="73"/>
      <c r="G22" s="73"/>
      <c r="H22" s="73"/>
      <c r="I22" s="70"/>
      <c r="J22" s="70"/>
      <c r="K22" s="71"/>
      <c r="L22" s="70"/>
      <c r="M22" s="70"/>
      <c r="N22" s="70"/>
      <c r="O22" s="70"/>
      <c r="P22" s="72"/>
      <c r="Q22" s="72"/>
      <c r="R22" s="71"/>
      <c r="S22" s="70"/>
      <c r="T22" s="70"/>
      <c r="U22" s="70"/>
      <c r="V22" s="70"/>
      <c r="W22" s="70"/>
      <c r="X22" s="73"/>
      <c r="Y22" s="73"/>
      <c r="Z22" s="73"/>
      <c r="AA22" s="73"/>
      <c r="AB22" s="73"/>
      <c r="AE22" s="73"/>
      <c r="AF22" s="71"/>
      <c r="AG22" s="71"/>
      <c r="AH22" s="70"/>
      <c r="AI22" s="70"/>
      <c r="AJ22" s="70"/>
    </row>
    <row r="23" spans="2:36" s="74" customFormat="1" ht="15" customHeight="1" x14ac:dyDescent="0.25">
      <c r="B23" s="4" t="s">
        <v>13</v>
      </c>
      <c r="C23" s="97">
        <v>0.02</v>
      </c>
      <c r="D23" s="81"/>
      <c r="E23" s="81"/>
      <c r="F23" s="81"/>
      <c r="G23" s="81"/>
      <c r="H23" s="81"/>
      <c r="I23" s="70"/>
      <c r="J23" s="70"/>
      <c r="K23" s="71"/>
      <c r="L23" s="70"/>
      <c r="M23" s="70"/>
      <c r="N23" s="70"/>
      <c r="O23" s="70"/>
      <c r="P23" s="72"/>
      <c r="Q23" s="72"/>
      <c r="R23" s="71"/>
      <c r="S23" s="70"/>
      <c r="T23" s="70"/>
      <c r="U23" s="70"/>
      <c r="V23" s="70"/>
      <c r="W23" s="70"/>
      <c r="X23" s="73"/>
      <c r="Y23" s="73"/>
      <c r="Z23" s="73"/>
      <c r="AA23" s="73"/>
      <c r="AB23" s="73"/>
      <c r="AE23" s="73"/>
      <c r="AF23" s="71"/>
      <c r="AG23" s="71"/>
      <c r="AH23" s="70"/>
      <c r="AI23" s="70"/>
      <c r="AJ23" s="70"/>
    </row>
    <row r="24" spans="2:36" s="74" customFormat="1" ht="15" customHeight="1" x14ac:dyDescent="0.25">
      <c r="B24" s="4" t="s">
        <v>59</v>
      </c>
      <c r="C24" s="100">
        <v>3.8600000000000001E-3</v>
      </c>
      <c r="D24" s="83"/>
      <c r="E24" s="83"/>
      <c r="F24" s="83"/>
      <c r="G24" s="83"/>
      <c r="H24" s="83"/>
      <c r="I24" s="70"/>
      <c r="J24" s="70"/>
      <c r="K24" s="71"/>
      <c r="L24" s="70"/>
      <c r="M24" s="70"/>
      <c r="N24" s="70"/>
      <c r="O24" s="70"/>
      <c r="P24" s="72"/>
      <c r="Q24" s="72"/>
      <c r="R24" s="71"/>
      <c r="S24" s="70"/>
      <c r="T24" s="70"/>
      <c r="U24" s="70"/>
      <c r="V24" s="70"/>
      <c r="W24" s="70"/>
      <c r="X24" s="73"/>
      <c r="Y24" s="73"/>
      <c r="Z24" s="73"/>
      <c r="AA24" s="73"/>
      <c r="AB24" s="73"/>
      <c r="AE24" s="73"/>
      <c r="AF24" s="71"/>
      <c r="AG24" s="71"/>
      <c r="AH24" s="70"/>
      <c r="AI24" s="70"/>
      <c r="AJ24" s="70"/>
    </row>
    <row r="25" spans="2:36" x14ac:dyDescent="0.25">
      <c r="B25" s="4" t="s">
        <v>14</v>
      </c>
      <c r="C25" s="101">
        <v>30</v>
      </c>
    </row>
    <row r="26" spans="2:36" x14ac:dyDescent="0.25">
      <c r="B26" s="4" t="s">
        <v>15</v>
      </c>
      <c r="C26" s="101">
        <v>7</v>
      </c>
    </row>
    <row r="27" spans="2:36" s="74" customFormat="1" ht="15" customHeight="1" x14ac:dyDescent="0.25">
      <c r="B27" s="4"/>
      <c r="C27" s="73"/>
      <c r="D27" s="73"/>
      <c r="E27" s="73"/>
      <c r="F27" s="73"/>
      <c r="G27" s="73"/>
      <c r="H27" s="73"/>
      <c r="I27" s="84"/>
      <c r="J27" s="70"/>
      <c r="K27" s="71"/>
      <c r="L27" s="70"/>
      <c r="M27" s="70"/>
      <c r="N27" s="70"/>
      <c r="O27" s="70"/>
      <c r="P27" s="72"/>
      <c r="Q27" s="72"/>
      <c r="R27" s="71"/>
      <c r="S27" s="70"/>
      <c r="T27" s="70"/>
      <c r="U27" s="70"/>
      <c r="V27" s="70"/>
      <c r="W27" s="70"/>
      <c r="X27" s="73"/>
      <c r="Y27" s="73"/>
      <c r="Z27" s="73"/>
      <c r="AA27" s="73"/>
      <c r="AB27" s="73"/>
      <c r="AE27" s="73"/>
      <c r="AF27" s="71"/>
      <c r="AG27" s="71"/>
      <c r="AH27" s="70"/>
      <c r="AI27" s="70"/>
      <c r="AJ27" s="70"/>
    </row>
    <row r="28" spans="2:36" s="74" customFormat="1" ht="15" customHeight="1" x14ac:dyDescent="0.3">
      <c r="B28" s="90" t="s">
        <v>16</v>
      </c>
      <c r="C28" s="73"/>
      <c r="D28" s="73"/>
      <c r="E28" s="73"/>
      <c r="F28" s="73"/>
      <c r="G28" s="73"/>
      <c r="H28" s="73"/>
      <c r="I28" s="70"/>
      <c r="J28" s="70"/>
      <c r="K28" s="85"/>
      <c r="L28" s="70"/>
      <c r="M28" s="70"/>
      <c r="N28" s="70"/>
      <c r="O28" s="70"/>
      <c r="P28" s="72"/>
      <c r="Q28" s="72"/>
      <c r="R28" s="71"/>
      <c r="S28" s="70"/>
      <c r="T28" s="70"/>
      <c r="U28" s="70"/>
      <c r="V28" s="70"/>
      <c r="W28" s="70"/>
      <c r="X28" s="73"/>
      <c r="Y28" s="73"/>
      <c r="Z28" s="73"/>
      <c r="AA28" s="73"/>
      <c r="AB28" s="86"/>
      <c r="AE28" s="73"/>
      <c r="AF28" s="71"/>
      <c r="AG28" s="71"/>
      <c r="AH28" s="70"/>
      <c r="AI28" s="70"/>
      <c r="AJ28" s="70"/>
    </row>
    <row r="29" spans="2:36" s="74" customFormat="1" ht="15" customHeight="1" x14ac:dyDescent="0.25">
      <c r="B29" s="4" t="s">
        <v>17</v>
      </c>
      <c r="C29" s="103">
        <v>31</v>
      </c>
      <c r="D29" s="73"/>
      <c r="E29" s="73"/>
      <c r="F29" s="73"/>
      <c r="G29" s="73"/>
      <c r="H29" s="73"/>
      <c r="I29" s="70"/>
      <c r="J29" s="70"/>
      <c r="K29" s="71"/>
      <c r="L29" s="70"/>
      <c r="M29" s="70"/>
      <c r="N29" s="70"/>
      <c r="O29" s="70"/>
      <c r="P29" s="72"/>
      <c r="Q29" s="72"/>
      <c r="R29" s="71"/>
      <c r="S29" s="70"/>
      <c r="T29" s="70"/>
      <c r="U29" s="70"/>
      <c r="V29" s="70"/>
      <c r="W29" s="70"/>
      <c r="X29" s="73"/>
      <c r="Y29" s="73"/>
      <c r="Z29" s="73"/>
      <c r="AA29" s="73"/>
      <c r="AB29" s="73"/>
      <c r="AE29" s="73"/>
      <c r="AF29" s="71"/>
      <c r="AG29" s="71"/>
      <c r="AH29" s="70"/>
      <c r="AI29" s="70"/>
      <c r="AJ29" s="70"/>
    </row>
    <row r="30" spans="2:36" s="74" customFormat="1" ht="15" customHeight="1" x14ac:dyDescent="0.25">
      <c r="B30" s="4"/>
      <c r="C30" s="87"/>
      <c r="D30" s="73"/>
      <c r="E30" s="73"/>
      <c r="F30" s="73"/>
      <c r="G30" s="73"/>
      <c r="H30" s="73"/>
      <c r="I30" s="70"/>
      <c r="J30" s="70"/>
      <c r="K30" s="71"/>
      <c r="L30" s="70"/>
      <c r="M30" s="70"/>
      <c r="N30" s="70"/>
      <c r="O30" s="70"/>
      <c r="P30" s="72"/>
      <c r="Q30" s="72"/>
      <c r="R30" s="71"/>
      <c r="S30" s="70"/>
      <c r="T30" s="70"/>
      <c r="U30" s="70"/>
      <c r="V30" s="70"/>
      <c r="W30" s="70"/>
      <c r="X30" s="73"/>
      <c r="Y30" s="73"/>
      <c r="Z30" s="73"/>
      <c r="AA30" s="73"/>
      <c r="AB30" s="73"/>
      <c r="AE30" s="73"/>
      <c r="AF30" s="71"/>
      <c r="AG30" s="71"/>
      <c r="AH30" s="70"/>
      <c r="AI30" s="70"/>
      <c r="AJ30" s="70"/>
    </row>
    <row r="31" spans="2:36" s="74" customFormat="1" ht="15" customHeight="1" x14ac:dyDescent="0.25">
      <c r="B31" s="90" t="s">
        <v>18</v>
      </c>
      <c r="C31" s="80"/>
      <c r="D31" s="73"/>
      <c r="E31" s="73"/>
      <c r="F31" s="73"/>
      <c r="G31" s="73"/>
      <c r="H31" s="73"/>
      <c r="I31" s="70"/>
      <c r="J31" s="70"/>
      <c r="K31" s="71"/>
      <c r="L31" s="70"/>
      <c r="M31" s="70"/>
      <c r="N31" s="70"/>
      <c r="O31" s="70"/>
      <c r="P31" s="72"/>
      <c r="Q31" s="72"/>
      <c r="R31" s="71"/>
      <c r="S31" s="70"/>
      <c r="T31" s="70"/>
      <c r="U31" s="70"/>
      <c r="V31" s="70"/>
      <c r="W31" s="70"/>
      <c r="X31" s="73"/>
      <c r="Y31" s="73"/>
      <c r="Z31" s="73"/>
      <c r="AA31" s="73"/>
      <c r="AB31" s="73"/>
      <c r="AE31" s="73"/>
      <c r="AF31" s="71"/>
      <c r="AG31" s="71"/>
      <c r="AH31" s="70"/>
      <c r="AI31" s="70"/>
      <c r="AJ31" s="70"/>
    </row>
    <row r="32" spans="2:36" s="71" customFormat="1" ht="15" customHeight="1" x14ac:dyDescent="0.25">
      <c r="B32" s="4" t="s">
        <v>54</v>
      </c>
      <c r="C32" s="2">
        <f>(1/(2*PI()))*SQRT(C16/C15)</f>
        <v>30.021966527715023</v>
      </c>
      <c r="D32" s="83"/>
      <c r="E32" s="83"/>
      <c r="F32" s="83"/>
      <c r="G32" s="83"/>
      <c r="H32" s="83"/>
      <c r="I32" s="70"/>
      <c r="J32" s="70"/>
      <c r="L32" s="70"/>
      <c r="M32" s="70"/>
      <c r="N32" s="70"/>
      <c r="O32" s="70"/>
      <c r="P32" s="72"/>
      <c r="Q32" s="72"/>
      <c r="S32" s="70"/>
      <c r="T32" s="70"/>
      <c r="U32" s="70"/>
      <c r="V32" s="70"/>
      <c r="W32" s="70"/>
      <c r="X32" s="73"/>
      <c r="Y32" s="73"/>
      <c r="Z32" s="73"/>
      <c r="AA32" s="73"/>
      <c r="AB32" s="73"/>
      <c r="AC32" s="74"/>
      <c r="AD32" s="74"/>
      <c r="AE32" s="73"/>
      <c r="AH32" s="70"/>
      <c r="AI32" s="70"/>
      <c r="AJ32" s="70"/>
    </row>
    <row r="33" spans="2:36" s="71" customFormat="1" ht="15" customHeight="1" x14ac:dyDescent="0.25">
      <c r="B33" s="91" t="s">
        <v>19</v>
      </c>
      <c r="C33" s="92">
        <f>C19*SQRT(C15*C16)/C18^2</f>
        <v>0.46796494418838092</v>
      </c>
      <c r="D33" s="88"/>
      <c r="E33" s="88"/>
      <c r="F33" s="88"/>
      <c r="G33" s="88"/>
      <c r="H33" s="88"/>
      <c r="I33" s="70"/>
      <c r="J33" s="70"/>
      <c r="L33" s="70"/>
      <c r="M33" s="70"/>
      <c r="N33" s="70"/>
      <c r="O33" s="70"/>
      <c r="P33" s="72"/>
      <c r="Q33" s="72"/>
      <c r="S33" s="70"/>
      <c r="T33" s="70"/>
      <c r="U33" s="70"/>
      <c r="V33" s="70"/>
      <c r="W33" s="70"/>
      <c r="X33" s="73"/>
      <c r="Y33" s="73"/>
      <c r="Z33" s="73"/>
      <c r="AA33" s="73"/>
      <c r="AB33" s="73"/>
      <c r="AC33" s="74"/>
      <c r="AD33" s="74"/>
      <c r="AE33" s="73"/>
      <c r="AH33" s="70"/>
      <c r="AI33" s="70"/>
      <c r="AJ33" s="70"/>
    </row>
    <row r="34" spans="2:36" s="71" customFormat="1" ht="15" customHeight="1" x14ac:dyDescent="0.25">
      <c r="B34" s="4" t="s">
        <v>20</v>
      </c>
      <c r="C34" s="1">
        <f>SQRT(C15*C16)/C17</f>
        <v>2.9978131070154892</v>
      </c>
      <c r="D34" s="83"/>
      <c r="E34" s="83"/>
      <c r="F34" s="83"/>
      <c r="G34" s="80"/>
      <c r="H34" s="83"/>
      <c r="I34" s="70"/>
      <c r="J34" s="70"/>
      <c r="L34" s="70"/>
      <c r="M34" s="70"/>
      <c r="N34" s="70"/>
      <c r="O34" s="70"/>
      <c r="P34" s="72"/>
      <c r="Q34" s="72"/>
      <c r="S34" s="70"/>
      <c r="T34" s="70"/>
      <c r="U34" s="70"/>
      <c r="V34" s="70"/>
      <c r="W34" s="70"/>
      <c r="X34" s="73"/>
      <c r="Y34" s="73"/>
      <c r="Z34" s="73"/>
      <c r="AA34" s="73"/>
      <c r="AB34" s="73"/>
      <c r="AC34" s="74"/>
      <c r="AD34" s="74"/>
      <c r="AE34" s="73"/>
      <c r="AH34" s="70"/>
      <c r="AI34" s="70"/>
      <c r="AJ34" s="70"/>
    </row>
    <row r="35" spans="2:36" s="71" customFormat="1" ht="15" customHeight="1" x14ac:dyDescent="0.25">
      <c r="B35" s="4" t="s">
        <v>21</v>
      </c>
      <c r="C35" s="92">
        <f>(C33*C34)/(C33+C34)</f>
        <v>0.40477821216058535</v>
      </c>
      <c r="D35" s="88"/>
      <c r="E35" s="88"/>
      <c r="F35" s="88"/>
      <c r="G35" s="88"/>
      <c r="H35" s="88"/>
      <c r="I35" s="70"/>
      <c r="J35" s="70"/>
      <c r="L35" s="70"/>
      <c r="M35" s="70"/>
      <c r="N35" s="70"/>
      <c r="O35" s="70"/>
      <c r="P35" s="72"/>
      <c r="Q35" s="72"/>
      <c r="S35" s="70"/>
      <c r="T35" s="70"/>
      <c r="U35" s="70"/>
      <c r="V35" s="70"/>
      <c r="W35" s="70"/>
      <c r="X35" s="73"/>
      <c r="Y35" s="73"/>
      <c r="Z35" s="73"/>
      <c r="AA35" s="73"/>
      <c r="AB35" s="73"/>
      <c r="AC35" s="74"/>
      <c r="AD35" s="74"/>
      <c r="AE35" s="73"/>
      <c r="AH35" s="70"/>
      <c r="AI35" s="70"/>
      <c r="AJ35" s="70"/>
    </row>
    <row r="36" spans="2:36" s="71" customFormat="1" ht="15" customHeight="1" x14ac:dyDescent="0.25">
      <c r="B36" s="4" t="s">
        <v>22</v>
      </c>
      <c r="C36" s="2">
        <f>1000*(C10*C11^2*C14^2)/C16</f>
        <v>21.183956604349387</v>
      </c>
      <c r="D36" s="83"/>
      <c r="E36" s="83"/>
      <c r="F36" s="83"/>
      <c r="G36" s="83"/>
      <c r="H36" s="83"/>
      <c r="I36" s="70"/>
      <c r="J36" s="70"/>
      <c r="L36" s="70"/>
      <c r="M36" s="70"/>
      <c r="N36" s="70"/>
      <c r="O36" s="70"/>
      <c r="P36" s="72"/>
      <c r="Q36" s="72"/>
      <c r="S36" s="70"/>
      <c r="T36" s="70"/>
      <c r="U36" s="70"/>
      <c r="V36" s="70"/>
      <c r="W36" s="70"/>
      <c r="X36" s="73"/>
      <c r="Y36" s="73"/>
      <c r="Z36" s="73"/>
      <c r="AA36" s="73"/>
      <c r="AB36" s="73"/>
      <c r="AC36" s="74"/>
      <c r="AD36" s="74"/>
      <c r="AE36" s="73"/>
      <c r="AH36" s="70"/>
      <c r="AI36" s="70"/>
      <c r="AJ36" s="70"/>
    </row>
    <row r="37" spans="2:36" s="71" customFormat="1" ht="15" customHeight="1" x14ac:dyDescent="0.4">
      <c r="B37" s="4" t="s">
        <v>53</v>
      </c>
      <c r="C37" s="2">
        <f>79.6+20*LOG10((C14*C18)/(C19*C15))</f>
        <v>75.12778475982951</v>
      </c>
      <c r="D37" s="73"/>
      <c r="E37" s="73"/>
      <c r="F37" s="73"/>
      <c r="G37" s="73"/>
      <c r="H37" s="73"/>
      <c r="I37" s="70"/>
      <c r="J37" s="70"/>
      <c r="L37" s="70"/>
      <c r="M37" s="70"/>
      <c r="N37" s="70"/>
      <c r="O37" s="70"/>
      <c r="P37" s="72"/>
      <c r="Q37" s="72"/>
      <c r="S37" s="70"/>
      <c r="T37" s="70"/>
      <c r="U37" s="70"/>
      <c r="V37" s="70"/>
      <c r="W37" s="70"/>
      <c r="X37" s="73"/>
      <c r="Y37" s="73"/>
      <c r="Z37" s="73"/>
      <c r="AA37" s="73"/>
      <c r="AB37" s="73"/>
      <c r="AC37" s="74"/>
      <c r="AD37" s="74"/>
      <c r="AE37" s="73"/>
      <c r="AF37" s="89"/>
      <c r="AH37" s="70"/>
      <c r="AI37" s="70"/>
      <c r="AJ37" s="70"/>
    </row>
    <row r="38" spans="2:36" s="71" customFormat="1" ht="15" customHeight="1" x14ac:dyDescent="0.25">
      <c r="B38" s="4" t="s">
        <v>61</v>
      </c>
      <c r="C38" s="93">
        <f>(Calculations!C3+C41)/(2*PI()*C25)^2</f>
        <v>2.9734689841964517E-3</v>
      </c>
      <c r="D38" s="73"/>
      <c r="E38" s="73"/>
      <c r="F38" s="73"/>
      <c r="G38" s="73"/>
      <c r="H38" s="73"/>
      <c r="I38" s="70"/>
      <c r="J38" s="70"/>
      <c r="L38" s="70"/>
      <c r="M38" s="70"/>
      <c r="N38" s="70"/>
      <c r="O38" s="70"/>
      <c r="P38" s="72"/>
      <c r="Q38" s="72"/>
      <c r="S38" s="70"/>
      <c r="T38" s="70"/>
      <c r="U38" s="70"/>
      <c r="V38" s="70"/>
      <c r="W38" s="70"/>
      <c r="X38" s="73"/>
      <c r="Y38" s="73"/>
      <c r="Z38" s="73"/>
      <c r="AA38" s="73"/>
      <c r="AB38" s="73"/>
      <c r="AC38" s="74"/>
      <c r="AD38" s="74"/>
      <c r="AE38" s="73"/>
      <c r="AH38" s="70"/>
      <c r="AI38" s="70"/>
      <c r="AJ38" s="70"/>
    </row>
    <row r="39" spans="2:36" s="71" customFormat="1" ht="15" customHeight="1" x14ac:dyDescent="0.25">
      <c r="B39" s="4" t="s">
        <v>67</v>
      </c>
      <c r="C39" s="1">
        <f>2*39.37*SQRT(C24/PI())</f>
        <v>2.7600320578873871</v>
      </c>
      <c r="D39" s="73"/>
      <c r="E39" s="73"/>
      <c r="F39" s="73"/>
      <c r="G39" s="73"/>
      <c r="H39" s="73"/>
      <c r="I39" s="70"/>
      <c r="J39" s="70"/>
      <c r="L39" s="70"/>
      <c r="M39" s="70"/>
      <c r="N39" s="70"/>
      <c r="O39" s="70"/>
      <c r="P39" s="72"/>
      <c r="Q39" s="72"/>
      <c r="S39" s="70"/>
      <c r="T39" s="70"/>
      <c r="U39" s="70"/>
      <c r="V39" s="70"/>
      <c r="W39" s="70"/>
      <c r="X39" s="73"/>
      <c r="Y39" s="73"/>
      <c r="Z39" s="73"/>
      <c r="AA39" s="73"/>
      <c r="AB39" s="73"/>
      <c r="AC39" s="74"/>
      <c r="AD39" s="74"/>
      <c r="AE39" s="73"/>
      <c r="AH39" s="70"/>
      <c r="AI39" s="70"/>
      <c r="AJ39" s="70"/>
    </row>
    <row r="40" spans="2:36" s="71" customFormat="1" ht="15" customHeight="1" x14ac:dyDescent="0.25">
      <c r="B40" s="4" t="s">
        <v>66</v>
      </c>
      <c r="C40" s="2">
        <f>(59.9*C39^2)/(C25^2*C23)-0.73*C39</f>
        <v>23.335445483181569</v>
      </c>
      <c r="D40" s="73"/>
      <c r="E40" s="73"/>
      <c r="F40" s="73"/>
      <c r="G40" s="73"/>
      <c r="H40" s="73"/>
      <c r="I40" s="70"/>
      <c r="J40" s="70"/>
      <c r="L40" s="70"/>
      <c r="M40" s="70"/>
      <c r="N40" s="70"/>
      <c r="O40" s="70"/>
      <c r="P40" s="72"/>
      <c r="Q40" s="72"/>
      <c r="S40" s="70"/>
      <c r="T40" s="70"/>
      <c r="U40" s="70"/>
      <c r="V40" s="70"/>
      <c r="W40" s="70"/>
      <c r="X40" s="73"/>
      <c r="Y40" s="73"/>
      <c r="Z40" s="73"/>
      <c r="AA40" s="73"/>
      <c r="AB40" s="73"/>
      <c r="AC40" s="74"/>
      <c r="AD40" s="74"/>
      <c r="AE40" s="73"/>
      <c r="AH40" s="70"/>
      <c r="AI40" s="70"/>
      <c r="AJ40" s="70"/>
    </row>
    <row r="41" spans="2:36" s="71" customFormat="1" ht="15" customHeight="1" x14ac:dyDescent="0.25">
      <c r="B41" s="4" t="s">
        <v>60</v>
      </c>
      <c r="C41" s="3">
        <f>C10*C11^2*C24^2/C23</f>
        <v>105.64906526254079</v>
      </c>
      <c r="D41" s="74"/>
      <c r="E41" s="74"/>
      <c r="F41" s="74"/>
      <c r="G41" s="74"/>
      <c r="H41" s="74"/>
      <c r="I41" s="70"/>
      <c r="J41" s="70"/>
      <c r="L41" s="70"/>
      <c r="M41" s="70"/>
      <c r="N41" s="70"/>
      <c r="O41" s="70"/>
      <c r="P41" s="72"/>
      <c r="Q41" s="72"/>
      <c r="S41" s="70"/>
      <c r="T41" s="70"/>
      <c r="U41" s="70"/>
      <c r="V41" s="70"/>
      <c r="W41" s="70"/>
      <c r="X41" s="73"/>
      <c r="Y41" s="73"/>
      <c r="Z41" s="73"/>
      <c r="AA41" s="73"/>
      <c r="AB41" s="73"/>
      <c r="AC41" s="74"/>
      <c r="AD41" s="74"/>
      <c r="AE41" s="73"/>
      <c r="AH41" s="70"/>
      <c r="AI41" s="70"/>
      <c r="AJ41" s="70"/>
    </row>
    <row r="42" spans="2:36" s="71" customFormat="1" ht="15" customHeight="1" x14ac:dyDescent="0.25">
      <c r="B42" s="4" t="s">
        <v>23</v>
      </c>
      <c r="C42" s="2">
        <f>(C26*C10*C11^2*C24^2)/(2*PI()*C25*C23)</f>
        <v>3.9233998929000435</v>
      </c>
      <c r="D42" s="83"/>
      <c r="E42" s="83"/>
      <c r="F42" s="83"/>
      <c r="G42" s="83"/>
      <c r="H42" s="83"/>
      <c r="I42" s="70"/>
      <c r="J42" s="70"/>
      <c r="L42" s="70"/>
      <c r="M42" s="70"/>
      <c r="N42" s="70"/>
      <c r="O42" s="70"/>
      <c r="P42" s="72"/>
      <c r="Q42" s="72"/>
      <c r="S42" s="70"/>
      <c r="T42" s="70"/>
      <c r="U42" s="70"/>
      <c r="V42" s="70"/>
      <c r="W42" s="70"/>
      <c r="X42" s="73"/>
      <c r="Y42" s="73"/>
      <c r="Z42" s="73"/>
      <c r="AA42" s="73"/>
      <c r="AB42" s="73"/>
      <c r="AC42" s="74"/>
      <c r="AD42" s="74"/>
      <c r="AE42" s="73"/>
      <c r="AH42" s="70"/>
      <c r="AI42" s="70"/>
      <c r="AJ42" s="70"/>
    </row>
    <row r="43" spans="2:36" s="71" customFormat="1" ht="15" customHeight="1" x14ac:dyDescent="0.25">
      <c r="B43" s="79"/>
      <c r="C43" s="73"/>
      <c r="D43" s="73"/>
      <c r="E43" s="73"/>
      <c r="F43" s="73"/>
      <c r="G43" s="73"/>
      <c r="H43" s="73"/>
      <c r="I43" s="70"/>
      <c r="J43" s="70"/>
      <c r="L43" s="70"/>
      <c r="M43" s="70"/>
      <c r="N43" s="70"/>
      <c r="O43" s="70"/>
      <c r="P43" s="72"/>
      <c r="Q43" s="72"/>
      <c r="S43" s="70"/>
      <c r="T43" s="70"/>
      <c r="U43" s="70"/>
      <c r="V43" s="70"/>
      <c r="W43" s="70"/>
      <c r="X43" s="73"/>
      <c r="Y43" s="73"/>
      <c r="Z43" s="73"/>
      <c r="AA43" s="73"/>
      <c r="AB43" s="73"/>
      <c r="AC43" s="74"/>
      <c r="AD43" s="74"/>
      <c r="AE43" s="73"/>
      <c r="AH43" s="70"/>
      <c r="AI43" s="70"/>
      <c r="AJ43" s="70"/>
    </row>
    <row r="44" spans="2:36" s="71" customFormat="1" ht="15" customHeight="1" x14ac:dyDescent="0.25">
      <c r="B44" s="73"/>
      <c r="C44" s="70"/>
      <c r="D44" s="73"/>
      <c r="E44" s="73"/>
      <c r="F44" s="73"/>
      <c r="G44" s="73"/>
      <c r="H44" s="73"/>
      <c r="I44" s="70"/>
      <c r="J44" s="70"/>
      <c r="L44" s="70"/>
      <c r="M44" s="70"/>
      <c r="N44" s="70"/>
      <c r="O44" s="70"/>
      <c r="P44" s="72"/>
      <c r="Q44" s="72"/>
      <c r="S44" s="70"/>
      <c r="T44" s="70"/>
      <c r="U44" s="70"/>
      <c r="V44" s="70"/>
      <c r="W44" s="70"/>
      <c r="X44" s="73"/>
      <c r="Y44" s="73"/>
      <c r="Z44" s="73"/>
      <c r="AA44" s="73"/>
      <c r="AB44" s="73"/>
      <c r="AC44" s="74"/>
      <c r="AD44" s="74"/>
      <c r="AE44" s="73"/>
      <c r="AH44" s="70"/>
      <c r="AI44" s="70"/>
      <c r="AJ44" s="70"/>
    </row>
    <row r="251" spans="11:35" x14ac:dyDescent="0.25">
      <c r="K251" s="70"/>
      <c r="M251" s="71"/>
      <c r="P251" s="70"/>
      <c r="Q251" s="70"/>
      <c r="R251" s="72"/>
      <c r="S251" s="72"/>
      <c r="T251" s="71"/>
      <c r="X251" s="70"/>
      <c r="Y251" s="70"/>
      <c r="AC251" s="73"/>
      <c r="AD251" s="73"/>
      <c r="AE251" s="74"/>
      <c r="AF251" s="74"/>
      <c r="AG251" s="73"/>
      <c r="AH251" s="71"/>
      <c r="AI251" s="71"/>
    </row>
    <row r="252" spans="11:35" x14ac:dyDescent="0.25">
      <c r="K252" s="70"/>
      <c r="L252" s="71"/>
      <c r="P252" s="70"/>
      <c r="R252" s="72"/>
      <c r="S252" s="71"/>
      <c r="X252" s="70"/>
      <c r="AC252" s="73"/>
      <c r="AE252" s="74"/>
      <c r="AF252" s="73"/>
      <c r="AH252" s="71"/>
    </row>
  </sheetData>
  <sheetProtection algorithmName="SHA-512" hashValue="1vOeCuVf+seMx76BgruJXvRk4DE4m8YWEEmRTbnBHpV42RWOwA9kW0mqHsGfwqhtd6ypTKHWRuvI/gdXsEI6EQ==" saltValue="oHMcmqdAnx32QDTlRyelbQ==" spinCount="100000" sheet="1" objects="1" scenarios="1"/>
  <mergeCells count="1">
    <mergeCell ref="B4:P4"/>
  </mergeCells>
  <printOptions horizontalCentered="1" verticalCentered="1"/>
  <pageMargins left="0.7" right="0.7" top="0.75" bottom="0.75" header="0.3" footer="0.3"/>
  <pageSetup scale="18" orientation="portrait" r:id="rId1"/>
  <ignoredErrors>
    <ignoredError sqref="C41:C42 C32:C38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17E08A-74B6-48A0-8356-EC414FA70323}">
  <dimension ref="B2:D30"/>
  <sheetViews>
    <sheetView tabSelected="1" workbookViewId="0">
      <selection activeCell="H18" sqref="H18"/>
    </sheetView>
  </sheetViews>
  <sheetFormatPr defaultRowHeight="15" x14ac:dyDescent="0.25"/>
  <cols>
    <col min="1" max="1" width="3.7109375" customWidth="1"/>
    <col min="2" max="2" width="35.7109375" style="113" customWidth="1"/>
    <col min="3" max="4" width="10.7109375" style="94" customWidth="1"/>
  </cols>
  <sheetData>
    <row r="2" spans="2:4" s="104" customFormat="1" ht="30" customHeight="1" x14ac:dyDescent="0.25">
      <c r="B2" s="112" t="s">
        <v>68</v>
      </c>
    </row>
    <row r="6" spans="2:4" x14ac:dyDescent="0.25">
      <c r="B6" s="4" t="s">
        <v>64</v>
      </c>
      <c r="C6" s="80"/>
    </row>
    <row r="7" spans="2:4" x14ac:dyDescent="0.25">
      <c r="B7" s="102" t="s">
        <v>65</v>
      </c>
      <c r="C7" s="80"/>
    </row>
    <row r="8" spans="2:4" x14ac:dyDescent="0.25">
      <c r="B8" s="4"/>
      <c r="C8" s="80"/>
    </row>
    <row r="9" spans="2:4" x14ac:dyDescent="0.25">
      <c r="B9" s="90" t="s">
        <v>2</v>
      </c>
      <c r="C9" s="80" t="s">
        <v>69</v>
      </c>
      <c r="D9" s="94" t="s">
        <v>70</v>
      </c>
    </row>
    <row r="10" spans="2:4" x14ac:dyDescent="0.25">
      <c r="B10" s="4" t="s">
        <v>3</v>
      </c>
      <c r="C10" s="94">
        <v>1.204</v>
      </c>
      <c r="D10" s="94" t="s">
        <v>71</v>
      </c>
    </row>
    <row r="11" spans="2:4" x14ac:dyDescent="0.25">
      <c r="B11" s="4" t="s">
        <v>4</v>
      </c>
      <c r="C11" s="94">
        <v>343.2</v>
      </c>
      <c r="D11" s="94" t="s">
        <v>72</v>
      </c>
    </row>
    <row r="13" spans="2:4" x14ac:dyDescent="0.25">
      <c r="B13" s="90" t="s">
        <v>73</v>
      </c>
    </row>
    <row r="14" spans="2:4" x14ac:dyDescent="0.25">
      <c r="B14" s="113" t="s">
        <v>74</v>
      </c>
      <c r="C14" s="101">
        <v>6</v>
      </c>
      <c r="D14" s="94" t="s">
        <v>75</v>
      </c>
    </row>
    <row r="15" spans="2:4" x14ac:dyDescent="0.25">
      <c r="B15" s="113" t="s">
        <v>76</v>
      </c>
      <c r="C15" s="114">
        <v>57</v>
      </c>
      <c r="D15" s="94" t="s">
        <v>77</v>
      </c>
    </row>
    <row r="16" spans="2:4" x14ac:dyDescent="0.25">
      <c r="B16" s="113" t="s">
        <v>78</v>
      </c>
      <c r="C16" s="99">
        <v>0.49</v>
      </c>
      <c r="D16" s="94" t="s">
        <v>79</v>
      </c>
    </row>
    <row r="17" spans="2:4" x14ac:dyDescent="0.25">
      <c r="B17" s="113" t="s">
        <v>80</v>
      </c>
      <c r="C17" s="99">
        <v>2.69</v>
      </c>
      <c r="D17" s="94" t="s">
        <v>79</v>
      </c>
    </row>
    <row r="18" spans="2:4" x14ac:dyDescent="0.25">
      <c r="B18" s="113" t="s">
        <v>6</v>
      </c>
      <c r="C18" s="97">
        <v>9.4999999999999998E-3</v>
      </c>
      <c r="D18" s="94" t="s">
        <v>81</v>
      </c>
    </row>
    <row r="19" spans="2:4" x14ac:dyDescent="0.25">
      <c r="B19" s="113" t="s">
        <v>82</v>
      </c>
      <c r="C19" s="97">
        <v>8.9999999999999993E-3</v>
      </c>
      <c r="D19" s="94" t="s">
        <v>83</v>
      </c>
    </row>
    <row r="21" spans="2:4" x14ac:dyDescent="0.25">
      <c r="B21" s="115" t="s">
        <v>84</v>
      </c>
    </row>
    <row r="22" spans="2:4" x14ac:dyDescent="0.25">
      <c r="B22" s="113" t="s">
        <v>85</v>
      </c>
      <c r="C22" s="3">
        <f>(C10*C11^2*C18^2)/C19</f>
        <v>1422.0856249600001</v>
      </c>
      <c r="D22" s="94" t="s">
        <v>86</v>
      </c>
    </row>
    <row r="23" spans="2:4" x14ac:dyDescent="0.25">
      <c r="B23" s="113" t="s">
        <v>87</v>
      </c>
      <c r="C23" s="93">
        <f>C22/(2*PI()*C15)^2</f>
        <v>1.1087057460888033E-2</v>
      </c>
      <c r="D23" s="94" t="s">
        <v>88</v>
      </c>
    </row>
    <row r="24" spans="2:4" x14ac:dyDescent="0.25">
      <c r="B24" s="113" t="s">
        <v>89</v>
      </c>
      <c r="C24" s="1">
        <f>SQRT(C22*C23)/C17</f>
        <v>1.476110067907854</v>
      </c>
      <c r="D24" s="94" t="s">
        <v>90</v>
      </c>
    </row>
    <row r="25" spans="2:4" x14ac:dyDescent="0.25">
      <c r="B25" s="113" t="s">
        <v>91</v>
      </c>
      <c r="C25" s="1">
        <f>SQRT(C14*SQRT(C22*C23)/C16)</f>
        <v>6.9728945320554585</v>
      </c>
      <c r="D25" s="94" t="s">
        <v>92</v>
      </c>
    </row>
    <row r="26" spans="2:4" x14ac:dyDescent="0.25">
      <c r="B26" s="113" t="s">
        <v>93</v>
      </c>
      <c r="C26" s="2">
        <f>20*LOG10((C10*C18*C25)/(4*PI()*C14*C23*10^-5))</f>
        <v>79.591715516432643</v>
      </c>
      <c r="D26" s="94" t="s">
        <v>94</v>
      </c>
    </row>
    <row r="30" spans="2:4" x14ac:dyDescent="0.25">
      <c r="C30" s="116"/>
    </row>
  </sheetData>
  <sheetProtection algorithmName="SHA-512" hashValue="Yy1l/S+uqydA6msWZNM+A2EZs+KmJI/wyKl4Bf/CyY8+O70ZMHAMmcYLSqme+YngxCH0eGR6+AeWF2udIJhOpg==" saltValue="hURMUDHYpL3cdKz6fjB0LA==" spinCount="100000" sheet="1" objects="1" scenarios="1"/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B4E5C1-B8AF-4BF9-A447-82789E627854}">
  <dimension ref="B3:AU212"/>
  <sheetViews>
    <sheetView topLeftCell="K11" workbookViewId="0">
      <selection activeCell="X45" sqref="X45"/>
    </sheetView>
  </sheetViews>
  <sheetFormatPr defaultRowHeight="15" x14ac:dyDescent="0.25"/>
  <sheetData>
    <row r="3" spans="2:42" s="3" customFormat="1" ht="15" customHeight="1" x14ac:dyDescent="0.25">
      <c r="B3" s="4"/>
      <c r="C3" s="6"/>
      <c r="D3" s="2"/>
      <c r="E3" s="2"/>
      <c r="F3" s="2"/>
      <c r="G3" s="2"/>
      <c r="H3" s="2"/>
      <c r="I3"/>
      <c r="J3"/>
      <c r="K3" s="8"/>
      <c r="L3"/>
      <c r="M3"/>
      <c r="N3"/>
      <c r="O3"/>
      <c r="P3" s="5"/>
      <c r="Q3" s="5"/>
      <c r="R3" s="8"/>
      <c r="S3"/>
      <c r="T3"/>
      <c r="U3"/>
      <c r="V3"/>
      <c r="W3"/>
      <c r="X3" s="2"/>
      <c r="Y3" s="2"/>
      <c r="Z3" s="2"/>
      <c r="AA3" s="2"/>
      <c r="AB3" s="2"/>
      <c r="AE3" s="2"/>
      <c r="AF3" s="8"/>
      <c r="AG3" s="8"/>
      <c r="AH3"/>
      <c r="AI3"/>
      <c r="AJ3"/>
    </row>
    <row r="4" spans="2:42" s="3" customFormat="1" ht="15" customHeight="1" x14ac:dyDescent="0.25">
      <c r="B4" s="4"/>
      <c r="C4" s="1"/>
      <c r="D4" s="2"/>
      <c r="E4" s="2"/>
      <c r="F4" s="2"/>
      <c r="G4" s="2"/>
      <c r="H4" s="2"/>
      <c r="I4"/>
      <c r="J4"/>
      <c r="K4" s="8"/>
      <c r="L4"/>
      <c r="M4"/>
      <c r="N4"/>
      <c r="O4"/>
      <c r="P4" s="5"/>
      <c r="Q4" s="5"/>
      <c r="R4" s="8"/>
      <c r="S4"/>
      <c r="T4"/>
      <c r="U4"/>
      <c r="V4"/>
      <c r="W4"/>
      <c r="X4" s="2"/>
      <c r="Y4" s="2"/>
      <c r="Z4" s="2"/>
      <c r="AA4" s="2"/>
      <c r="AB4" s="2"/>
      <c r="AE4" s="2"/>
      <c r="AF4" s="8"/>
      <c r="AG4" s="8"/>
      <c r="AH4"/>
      <c r="AI4"/>
      <c r="AJ4"/>
    </row>
    <row r="7" spans="2:42" s="8" customFormat="1" ht="15" customHeight="1" x14ac:dyDescent="0.25">
      <c r="B7" s="65"/>
      <c r="C7" s="65"/>
      <c r="D7" s="65"/>
      <c r="E7" s="65"/>
      <c r="F7" s="65"/>
      <c r="G7" s="65"/>
      <c r="H7" s="65"/>
      <c r="I7" s="66"/>
      <c r="J7" s="66"/>
      <c r="K7" s="67"/>
      <c r="L7" s="65"/>
      <c r="M7" s="66"/>
      <c r="N7" s="69"/>
      <c r="O7" s="66"/>
      <c r="P7" s="65"/>
      <c r="Q7" s="65"/>
      <c r="R7" s="67"/>
      <c r="S7" s="66"/>
      <c r="T7" s="66"/>
      <c r="U7" s="66"/>
      <c r="V7" s="66"/>
      <c r="W7" s="66"/>
      <c r="X7" s="65"/>
      <c r="Y7" s="65"/>
      <c r="Z7" s="65"/>
      <c r="AA7" s="65"/>
      <c r="AB7" s="65"/>
      <c r="AC7" s="68"/>
      <c r="AD7" s="68"/>
      <c r="AE7" s="65"/>
      <c r="AH7"/>
      <c r="AI7"/>
      <c r="AJ7"/>
    </row>
    <row r="8" spans="2:42" s="8" customFormat="1" x14ac:dyDescent="0.25">
      <c r="B8" s="4"/>
      <c r="C8"/>
      <c r="D8"/>
      <c r="E8"/>
      <c r="F8"/>
      <c r="G8"/>
      <c r="H8"/>
      <c r="I8"/>
      <c r="J8"/>
      <c r="L8"/>
      <c r="M8"/>
      <c r="N8"/>
      <c r="O8"/>
      <c r="P8" s="5"/>
      <c r="Q8" s="5"/>
      <c r="S8"/>
      <c r="T8"/>
      <c r="U8"/>
      <c r="V8"/>
      <c r="W8"/>
      <c r="X8" s="2"/>
      <c r="Y8" s="2"/>
      <c r="Z8" s="2"/>
      <c r="AA8" s="2"/>
      <c r="AB8" s="2"/>
      <c r="AC8" s="3"/>
      <c r="AD8" s="3"/>
      <c r="AE8" s="2"/>
      <c r="AH8"/>
      <c r="AI8"/>
      <c r="AJ8"/>
    </row>
    <row r="9" spans="2:42" s="8" customFormat="1" ht="16.5" thickBot="1" x14ac:dyDescent="0.3">
      <c r="B9" s="107" t="s">
        <v>41</v>
      </c>
      <c r="C9" s="108"/>
      <c r="D9" s="109" t="s">
        <v>24</v>
      </c>
      <c r="E9" s="110"/>
      <c r="F9" s="110"/>
      <c r="G9" s="110"/>
      <c r="H9" s="109" t="s">
        <v>25</v>
      </c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08"/>
      <c r="T9" s="109" t="s">
        <v>42</v>
      </c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7"/>
      <c r="AG9" s="7"/>
      <c r="AH9" s="7"/>
      <c r="AI9" s="9"/>
      <c r="AJ9" s="7"/>
      <c r="AK9" s="10"/>
      <c r="AL9" s="9"/>
      <c r="AO9"/>
      <c r="AP9"/>
    </row>
    <row r="10" spans="2:42" s="15" customFormat="1" ht="15.75" thickBot="1" x14ac:dyDescent="0.3">
      <c r="B10" s="11" t="s">
        <v>26</v>
      </c>
      <c r="C10" s="12" t="s">
        <v>27</v>
      </c>
      <c r="D10" s="13" t="s">
        <v>28</v>
      </c>
      <c r="E10" s="14" t="s">
        <v>29</v>
      </c>
      <c r="F10" s="14" t="s">
        <v>30</v>
      </c>
      <c r="G10" s="29" t="s">
        <v>31</v>
      </c>
      <c r="H10" s="31" t="s">
        <v>32</v>
      </c>
      <c r="I10" s="13" t="s">
        <v>35</v>
      </c>
      <c r="J10" s="34" t="s">
        <v>33</v>
      </c>
      <c r="K10" s="35" t="s">
        <v>36</v>
      </c>
      <c r="L10" s="35" t="s">
        <v>47</v>
      </c>
      <c r="M10" s="34" t="s">
        <v>48</v>
      </c>
      <c r="N10" s="34" t="s">
        <v>37</v>
      </c>
      <c r="O10" s="34" t="s">
        <v>38</v>
      </c>
      <c r="P10" s="42" t="s">
        <v>39</v>
      </c>
      <c r="Q10" s="42" t="s">
        <v>40</v>
      </c>
      <c r="R10" s="34" t="s">
        <v>49</v>
      </c>
      <c r="S10" s="43" t="s">
        <v>50</v>
      </c>
      <c r="T10" s="36" t="s">
        <v>34</v>
      </c>
      <c r="U10" s="35" t="s">
        <v>43</v>
      </c>
      <c r="V10" s="34" t="s">
        <v>44</v>
      </c>
      <c r="W10" s="34" t="s">
        <v>51</v>
      </c>
      <c r="X10" s="34" t="s">
        <v>55</v>
      </c>
      <c r="Y10" s="34" t="s">
        <v>56</v>
      </c>
      <c r="Z10" s="34" t="s">
        <v>58</v>
      </c>
      <c r="AA10" s="34" t="s">
        <v>57</v>
      </c>
      <c r="AB10" s="44" t="s">
        <v>0</v>
      </c>
      <c r="AC10" s="44" t="s">
        <v>45</v>
      </c>
      <c r="AD10" s="44" t="s">
        <v>1</v>
      </c>
      <c r="AE10" s="45" t="s">
        <v>46</v>
      </c>
      <c r="AF10" s="7"/>
      <c r="AG10" s="7"/>
      <c r="AH10" s="7"/>
      <c r="AI10" s="7"/>
    </row>
    <row r="11" spans="2:42" s="8" customFormat="1" x14ac:dyDescent="0.25">
      <c r="B11" s="16">
        <v>10</v>
      </c>
      <c r="C11" s="17" t="str">
        <f t="shared" ref="C11:C74" si="0">COMPLEX(0,2*PI()*B11)</f>
        <v>62.8318530717959i</v>
      </c>
      <c r="D11" s="18" t="str">
        <f>COMPLEX(Ported!C$19,2*PI()*B11*Ported!C$20)</f>
        <v>6</v>
      </c>
      <c r="E11" s="19" t="str">
        <f>IMSUB(COMPLEX(1,0),IMDIV(COMPLEX(Ported!C$41,0),IMSUM(COMPLEX(Ported!C$41,0),IMPRODUCT(C11,COMPLEX(Ported!C$42,0)))))</f>
        <v>0.844827586206896+0.362068965517242i</v>
      </c>
      <c r="F11" s="19" t="str">
        <f>IMDIV(IMPRODUCT(C11,COMPLEX((Ported!C$42*Ported!C$14/Ported!C$24),0)),IMSUM(COMPLEX(Ported!C$41,0),IMPRODUCT(C11,COMPLEX(Ported!C$42,0))))</f>
        <v>4.90262640700376+2.10112560300162i</v>
      </c>
      <c r="G11" s="30" t="str">
        <f>IMPRODUCT(F11,IMSUB(COMPLEX(1,0),IMDIV(IMPRODUCT(COMPLEX(Ported!C$41,0),E11),IMSUM(COMPLEX(0-(2*PI()*B11)^2*Ported!C$38,0),IMPRODUCT(C11,COMPLEX(0,0)),IMPRODUCT(COMPLEX(Ported!C$41,0),E11)))))</f>
        <v>-0.72331276720185+0.0387488982429445i</v>
      </c>
      <c r="H11" s="32" t="str">
        <f>IMDIV(COMPLEX(Ported!C$18,0),IMPRODUCT(D11,IMSUM(COMPLEX(Ported!C$16-(2*PI()*B11)^2*Ported!C$15,0),IMPRODUCT(C11,IMSUM(COMPLEX(Ported!C$17,0),IMDIV(COMPLEX(Ported!C$18^2,0),D11))),IMPRODUCT(COMPLEX(Ported!C$14*Ported!C$41/Ported!C$24,0),G11))))</f>
        <v>0.000449757258325663-0.00049308885252962i</v>
      </c>
      <c r="I11" s="27">
        <f t="shared" ref="I11:I74" si="1">(180/PI())*IMARGUMENT(H11)</f>
        <v>-47.631364420614602</v>
      </c>
      <c r="J11" s="20" t="str">
        <f>IMPRODUCT(IMDIV(IMPRODUCT(COMPLEX(-Ported!C$41,0),F11),IMSUM(IMPRODUCT(COMPLEX(Ported!C$41,0),E11),COMPLEX(Calculations!C$3-(2*PI()*B11)^2*Ported!C$38,0),IMPRODUCT(COMPLEX(Calculations!C$4,0),C11))),H11)</f>
        <v>-0.00275587665585513+0.00336676554572818i</v>
      </c>
      <c r="K11" s="27">
        <f t="shared" ref="K11:K74" si="2">(180/PI())*IMARGUMENT(J11)</f>
        <v>129.3021500782595</v>
      </c>
      <c r="L11" s="40" t="str">
        <f>IMSUM(IMPRODUCT(COMPLEX(-(Ported!C$14/Ported!C$24),0),H11),IMDIV(IMPRODUCT(COMPLEX(-Ported!C$41,0),J11),IMSUM(COMPLEX(Ported!C$41,0),IMPRODUCT(COMPLEX(Ported!C$42,0),C11))),IMDIV(IMPRODUCT(COMPLEX(Ported!C$42*Ported!C$14/Ported!C$24,0),C11,H11),IMSUM(COMPLEX(Ported!C$41,0),IMPRODUCT(COMPLEX(Ported!C$42,0),C11))))</f>
        <v>-0.000160322168844187-0.00013123222170739i</v>
      </c>
      <c r="M11" s="28">
        <f t="shared" ref="M11:M74" si="3">(180/PI())*IMARGUMENT(L11)</f>
        <v>-140.69784992173774</v>
      </c>
      <c r="N11" s="39" t="str">
        <f>IMPRODUCT(COMPLEX((Ported!C$10*Ported!C$14)/(2*PI()),0),C11,C11,H11)</f>
        <v>-0.00762136137181497+0.00835563687739463i</v>
      </c>
      <c r="O11" s="28">
        <f t="shared" ref="O11:O74" si="4">(180/PI())*IMARGUMENT(N11)</f>
        <v>132.3686355793854</v>
      </c>
      <c r="P11" s="26" t="str">
        <f>IMPRODUCT(COMPLEX((Ported!C$10*Ported!C$24)/(2*PI()),0),C11,C11,J11)</f>
        <v>0.00804736011126731-0.0098312000644583i</v>
      </c>
      <c r="Q11" s="23">
        <f t="shared" ref="Q11:Q74" si="5">(180/PI())*IMARGUMENT(P11)</f>
        <v>-50.697849921740485</v>
      </c>
      <c r="R11" s="41" t="str">
        <f>IMPRODUCT(COMPLEX((Ported!C$10*Ported!C$24)/(2*PI()),0),C11,C11,L11)</f>
        <v>0.000468152384021789+0.000383207624346071i</v>
      </c>
      <c r="S11" s="33">
        <f t="shared" ref="S11:S74" si="6">(180/PI())*IMARGUMENT(R11)</f>
        <v>39.302150078262237</v>
      </c>
      <c r="T11" s="37">
        <f>IMABS(IMDIV(D11,IMSUB(COMPLEX(1,0),IMPRODUCT(COMPLEX(Ported!C$18,0),IMPRODUCT(C11,H11)))))</f>
        <v>8.7968718900531968</v>
      </c>
      <c r="U11" s="21">
        <f>20*LOG10(Ported!C$29*50000*IMABS(N11))</f>
        <v>84.875401098170627</v>
      </c>
      <c r="V11" s="22">
        <f>20*LOG10(Ported!C$29*50000*IMABS(P11))</f>
        <v>85.886005589429402</v>
      </c>
      <c r="W11" s="22">
        <f>20*LOG10(Ported!C$29*50000*IMABS(R11))</f>
        <v>59.441619694750713</v>
      </c>
      <c r="X11" s="28">
        <f>1000*Ported!C$29*IMABS(H11)</f>
        <v>20.689294279826857</v>
      </c>
      <c r="Y11" s="28">
        <f>1000*Ported!C$29*IMABS(J11)</f>
        <v>134.87660172648268</v>
      </c>
      <c r="Z11" s="28">
        <f>Ported!C$29*IMABS(IMPRODUCT(C11,J11))</f>
        <v>8.4745468225015035</v>
      </c>
      <c r="AA11" s="28">
        <f>1000*Ported!C$29*IMABS(L11)</f>
        <v>6.422695320308466</v>
      </c>
      <c r="AB11" s="41" t="str">
        <f t="shared" ref="AB11:AB74" si="7">IMSUM(N11,P11,R11)</f>
        <v>0.000894151123474128-0.0010923555627176i</v>
      </c>
      <c r="AC11" s="28">
        <f>20*LOG10(Ported!C$29*50000*IMABS(AB11))</f>
        <v>66.801155400642898</v>
      </c>
      <c r="AD11" s="28">
        <f t="shared" ref="AD11:AD74" si="8">10^(AC11/20)</f>
        <v>2188.0526602647969</v>
      </c>
      <c r="AE11" s="23">
        <f t="shared" ref="AE11:AE74" si="9">(180/PI())*IMARGUMENT(AB11)</f>
        <v>-50.69784992174133</v>
      </c>
      <c r="AF11" s="7"/>
      <c r="AG11" s="64"/>
      <c r="AH11" s="7"/>
      <c r="AI11" s="7"/>
    </row>
    <row r="12" spans="2:42" s="8" customFormat="1" x14ac:dyDescent="0.25">
      <c r="B12" s="24">
        <v>10.199999999999999</v>
      </c>
      <c r="C12" s="17" t="str">
        <f t="shared" si="0"/>
        <v>64.0884901332318i</v>
      </c>
      <c r="D12" s="18" t="str">
        <f>COMPLEX(Ported!C$19,2*PI()*B12*Ported!C$20)</f>
        <v>6</v>
      </c>
      <c r="E12" s="19" t="str">
        <f>IMSUB(COMPLEX(1,0),IMDIV(COMPLEX(Ported!C$41,0),IMSUM(COMPLEX(Ported!C$41,0),IMPRODUCT(C12,COMPLEX(Ported!C$42,0)))))</f>
        <v>0.849948982654102+0.357121421283237i</v>
      </c>
      <c r="F12" s="19" t="str">
        <f>IMDIV(IMPRODUCT(C12,COMPLEX((Ported!C$42*Ported!C$14/Ported!C$24),0)),IMSUM(COMPLEX(Ported!C$41,0),IMPRODUCT(C12,COMPLEX(Ported!C$42,0))))</f>
        <v>4.93234642783728+2.07241446547785i</v>
      </c>
      <c r="G12" s="30" t="str">
        <f>IMPRODUCT(F12,IMSUB(COMPLEX(1,0),IMDIV(IMPRODUCT(COMPLEX(Ported!C$41,0),E12),IMSUM(COMPLEX(0-(2*PI()*B12)^2*Ported!C$38,0),IMPRODUCT(C12,COMPLEX(0,0)),IMPRODUCT(COMPLEX(Ported!C$41,0),E12)))))</f>
        <v>-0.756243846525977+0.0415330664565008i</v>
      </c>
      <c r="H12" s="32" t="str">
        <f>IMDIV(COMPLEX(Ported!C$18,0),IMPRODUCT(D12,IMSUM(COMPLEX(Ported!C$16-(2*PI()*B12)^2*Ported!C$15,0),IMPRODUCT(C12,IMSUM(COMPLEX(Ported!C$17,0),IMDIV(COMPLEX(Ported!C$18^2,0),D12))),IMPRODUCT(COMPLEX(Ported!C$14*Ported!C$41/Ported!C$24,0),G12))))</f>
        <v>0.000439113367389755-0.000498165518206625i</v>
      </c>
      <c r="I12" s="27">
        <f t="shared" si="1"/>
        <v>-48.605087945993063</v>
      </c>
      <c r="J12" s="20" t="str">
        <f>IMPRODUCT(IMDIV(IMPRODUCT(COMPLEX(-Ported!C$41,0),F12),IMSUM(IMPRODUCT(COMPLEX(Ported!C$41,0),E12),COMPLEX(Calculations!C$3-(2*PI()*B12)^2*Ported!C$38,0),IMPRODUCT(COMPLEX(Calculations!C$4,0),C12))),H12)</f>
        <v>-0.00269365432908137+0.00341671567789732i</v>
      </c>
      <c r="K12" s="27">
        <f t="shared" si="2"/>
        <v>128.25137414995419</v>
      </c>
      <c r="L12" s="40" t="str">
        <f>IMSUM(IMPRODUCT(COMPLEX(-(Ported!C$14/Ported!C$24),0),H12),IMDIV(IMPRODUCT(COMPLEX(-Ported!C$41,0),J12),IMSUM(COMPLEX(Ported!C$41,0),IMPRODUCT(COMPLEX(Ported!C$42,0),C12))),IMDIV(IMPRODUCT(COMPLEX(Ported!C$42*Ported!C$14/Ported!C$24,0),C12,H12),IMSUM(COMPLEX(Ported!C$41,0),IMPRODUCT(COMPLEX(Ported!C$42,0),C12))))</f>
        <v>-0.000165954761497866-0.0001308346388411i</v>
      </c>
      <c r="M12" s="28">
        <f t="shared" si="3"/>
        <v>-141.74862585004414</v>
      </c>
      <c r="N12" s="39" t="str">
        <f>IMPRODUCT(COMPLEX((Ported!C$10*Ported!C$14)/(2*PI()),0),C12,C12,H12)</f>
        <v>-0.00774161153494052+0.00878270671872972i</v>
      </c>
      <c r="O12" s="28">
        <f t="shared" si="4"/>
        <v>131.39491205400691</v>
      </c>
      <c r="P12" s="26" t="str">
        <f>IMPRODUCT(COMPLEX((Ported!C$10*Ported!C$24)/(2*PI()),0),C12,C12,J12)</f>
        <v>0.0081834393176099-0.0103801312268358i</v>
      </c>
      <c r="Q12" s="23">
        <f t="shared" si="5"/>
        <v>-51.748625850045684</v>
      </c>
      <c r="R12" s="41" t="str">
        <f>IMPRODUCT(COMPLEX((Ported!C$10*Ported!C$24)/(2*PI()),0),C12,C12,L12)</f>
        <v>0.000504177802446301+0.000397481338283924i</v>
      </c>
      <c r="S12" s="33">
        <f t="shared" si="6"/>
        <v>38.251374149955865</v>
      </c>
      <c r="T12" s="38">
        <f>IMABS(IMDIV(D12,IMSUB(COMPLEX(1,0),IMPRODUCT(COMPLEX(Ported!C$18,0),IMPRODUCT(C12,H12)))))</f>
        <v>8.9570643815889763</v>
      </c>
      <c r="U12" s="21">
        <f>20*LOG10(Ported!C$29*50000*IMABS(N12))</f>
        <v>85.17601013584725</v>
      </c>
      <c r="V12" s="22">
        <f>20*LOG10(Ported!C$29*50000*IMABS(P12))</f>
        <v>86.229955857990262</v>
      </c>
      <c r="W12" s="22">
        <f>20*LOG10(Ported!C$29*50000*IMABS(R12))</f>
        <v>59.957573398550252</v>
      </c>
      <c r="X12" s="28">
        <f>1000*Ported!C$29*IMABS(H12)</f>
        <v>20.586180924721756</v>
      </c>
      <c r="Y12" s="28">
        <f>1000*Ported!C$29*IMABS(J12)</f>
        <v>134.87572280106451</v>
      </c>
      <c r="Z12" s="28">
        <f>Ported!C$29*IMABS(IMPRODUCT(C12,J12))</f>
        <v>8.6439814299485445</v>
      </c>
      <c r="AA12" s="28">
        <f>1000*Ported!C$29*IMABS(L12)</f>
        <v>6.5511065360517051</v>
      </c>
      <c r="AB12" s="41" t="str">
        <f t="shared" si="7"/>
        <v>0.00094600558511568-0.00119994316982216i</v>
      </c>
      <c r="AC12" s="28">
        <f>20*LOG10(Ported!C$29*50000*IMABS(AB12))</f>
        <v>67.489112539680121</v>
      </c>
      <c r="AD12" s="28">
        <f t="shared" si="8"/>
        <v>2368.4031334086035</v>
      </c>
      <c r="AE12" s="23">
        <f t="shared" si="9"/>
        <v>-51.748625850045038</v>
      </c>
      <c r="AF12" s="15"/>
      <c r="AG12" s="64"/>
      <c r="AH12" s="15"/>
      <c r="AI12" s="15"/>
    </row>
    <row r="13" spans="2:42" s="8" customFormat="1" x14ac:dyDescent="0.25">
      <c r="B13" s="24">
        <v>10.5</v>
      </c>
      <c r="C13" s="17" t="str">
        <f t="shared" si="0"/>
        <v>65.9734457253857i</v>
      </c>
      <c r="D13" s="18" t="str">
        <f>COMPLEX(Ported!C$19,2*PI()*B13*Ported!C$20)</f>
        <v>6</v>
      </c>
      <c r="E13" s="19" t="str">
        <f>IMSUB(COMPLEX(1,0),IMDIV(COMPLEX(Ported!C$41,0),IMSUM(COMPLEX(Ported!C$41,0),IMPRODUCT(C13,COMPLEX(Ported!C$42,0)))))</f>
        <v>0.857193859335951+0.349875044626919i</v>
      </c>
      <c r="F13" s="19" t="str">
        <f>IMDIV(IMPRODUCT(C13,COMPLEX((Ported!C$42*Ported!C$14/Ported!C$24),0)),IMSUM(COMPLEX(Ported!C$41,0),IMPRODUCT(C13,COMPLEX(Ported!C$42,0))))</f>
        <v>4.9743892355247+2.03036295327539i</v>
      </c>
      <c r="G13" s="30" t="str">
        <f>IMPRODUCT(F13,IMSUB(COMPLEX(1,0),IMDIV(IMPRODUCT(COMPLEX(Ported!C$41,0),E13),IMSUM(COMPLEX(0-(2*PI()*B13)^2*Ported!C$38,0),IMPRODUCT(C13,COMPLEX(0,0)),IMPRODUCT(COMPLEX(Ported!C$41,0),E13)))))</f>
        <v>-0.807498874554282+0.0460113318834308i</v>
      </c>
      <c r="H13" s="32" t="str">
        <f>IMDIV(COMPLEX(Ported!C$18,0),IMPRODUCT(D13,IMSUM(COMPLEX(Ported!C$16-(2*PI()*B13)^2*Ported!C$15,0),IMPRODUCT(C13,IMSUM(COMPLEX(Ported!C$17,0),IMDIV(COMPLEX(Ported!C$18^2,0),D13))),IMPRODUCT(COMPLEX(Ported!C$14*Ported!C$41/Ported!C$24,0),G13))))</f>
        <v>0.000422967699700906-0.000505294049349003i</v>
      </c>
      <c r="I13" s="27">
        <f t="shared" si="1"/>
        <v>-50.068228936409625</v>
      </c>
      <c r="J13" s="20" t="str">
        <f>IMPRODUCT(IMDIV(IMPRODUCT(COMPLEX(-Ported!C$41,0),F13),IMSUM(IMPRODUCT(COMPLEX(Ported!C$41,0),E13),COMPLEX(Calculations!C$3-(2*PI()*B13)^2*Ported!C$38,0),IMPRODUCT(COMPLEX(Calculations!C$4,0),C13))),H13)</f>
        <v>-0.00259834032063649+0.00348967904796083i</v>
      </c>
      <c r="K13" s="27">
        <f t="shared" si="2"/>
        <v>126.67058062990141</v>
      </c>
      <c r="L13" s="40" t="str">
        <f>IMSUM(IMPRODUCT(COMPLEX(-(Ported!C$14/Ported!C$24),0),H13),IMDIV(IMPRODUCT(COMPLEX(-Ported!C$41,0),J13),IMSUM(COMPLEX(Ported!C$41,0),IMPRODUCT(COMPLEX(Ported!C$42,0),C13))),IMDIV(IMPRODUCT(COMPLEX(Ported!C$42*Ported!C$14/Ported!C$24,0),C13,H13),IMSUM(COMPLEX(Ported!C$41,0),IMPRODUCT(COMPLEX(Ported!C$42,0),C13))))</f>
        <v>-0.000174483952398038-0.00012991701603182i</v>
      </c>
      <c r="M13" s="28">
        <f t="shared" si="3"/>
        <v>-143.32941937009898</v>
      </c>
      <c r="N13" s="39" t="str">
        <f>IMPRODUCT(COMPLEX((Ported!C$10*Ported!C$14)/(2*PI()),0),C13,C13,H13)</f>
        <v>-0.00790205731037957+0.00944011218675342i</v>
      </c>
      <c r="O13" s="28">
        <f t="shared" si="4"/>
        <v>129.93177106359036</v>
      </c>
      <c r="P13" s="26" t="str">
        <f>IMPRODUCT(COMPLEX((Ported!C$10*Ported!C$24)/(2*PI()),0),C13,C13,J13)</f>
        <v>0.00836504517668359-0.011234603356795i</v>
      </c>
      <c r="Q13" s="23">
        <f t="shared" si="5"/>
        <v>-53.329419370098577</v>
      </c>
      <c r="R13" s="41" t="str">
        <f>IMPRODUCT(COMPLEX((Ported!C$10*Ported!C$24)/(2*PI()),0),C13,C13,L13)</f>
        <v>0.000561730167839739+0.000418252258834165i</v>
      </c>
      <c r="S13" s="33">
        <f t="shared" si="6"/>
        <v>36.670580629901018</v>
      </c>
      <c r="T13" s="38">
        <f>IMABS(IMDIV(D13,IMSUB(COMPLEX(1,0),IMPRODUCT(COMPLEX(Ported!C$18,0),IMPRODUCT(C13,H13)))))</f>
        <v>9.2134876953240674</v>
      </c>
      <c r="U13" s="21">
        <f>20*LOG10(Ported!C$29*50000*IMABS(N13))</f>
        <v>85.61242914783243</v>
      </c>
      <c r="V13" s="22">
        <f>20*LOG10(Ported!C$29*50000*IMABS(P13))</f>
        <v>86.733409129911863</v>
      </c>
      <c r="W13" s="22">
        <f>20*LOG10(Ported!C$29*50000*IMABS(R13))</f>
        <v>60.712809216632031</v>
      </c>
      <c r="X13" s="28">
        <f>1000*Ported!C$29*IMABS(H13)</f>
        <v>20.427653438346134</v>
      </c>
      <c r="Y13" s="28">
        <f>1000*Ported!C$29*IMABS(J13)</f>
        <v>134.87398644926634</v>
      </c>
      <c r="Z13" s="28">
        <f>Ported!C$29*IMABS(IMPRODUCT(C13,J13))</f>
        <v>8.8981016247770715</v>
      </c>
      <c r="AA13" s="28">
        <f>1000*Ported!C$29*IMABS(L13)</f>
        <v>6.7436993224631472</v>
      </c>
      <c r="AB13" s="41" t="str">
        <f t="shared" si="7"/>
        <v>0.00102471803414376-0.00137623891120742i</v>
      </c>
      <c r="AC13" s="28">
        <f>20*LOG10(Ported!C$29*50000*IMABS(AB13))</f>
        <v>68.496130903923088</v>
      </c>
      <c r="AD13" s="28">
        <f t="shared" si="8"/>
        <v>2659.5401140057206</v>
      </c>
      <c r="AE13" s="23">
        <f t="shared" si="9"/>
        <v>-53.32941937009867</v>
      </c>
      <c r="AG13" s="64"/>
    </row>
    <row r="14" spans="2:42" s="8" customFormat="1" x14ac:dyDescent="0.25">
      <c r="B14" s="24">
        <v>10.7</v>
      </c>
      <c r="C14" s="17" t="str">
        <f t="shared" si="0"/>
        <v>67.2300827868216i</v>
      </c>
      <c r="D14" s="18" t="str">
        <f>COMPLEX(Ported!C$19,2*PI()*B14*Ported!C$20)</f>
        <v>6</v>
      </c>
      <c r="E14" s="19" t="str">
        <f>IMSUB(COMPLEX(1,0),IMDIV(COMPLEX(Ported!C$41,0),IMSUM(COMPLEX(Ported!C$41,0),IMPRODUCT(C14,COMPLEX(Ported!C$42,0)))))</f>
        <v>0.861751364437228+0.345160760121721i</v>
      </c>
      <c r="F14" s="19" t="str">
        <f>IMDIV(IMPRODUCT(C14,COMPLEX((Ported!C$42*Ported!C$14/Ported!C$24),0)),IMSUM(COMPLEX(Ported!C$41,0),IMPRODUCT(C14,COMPLEX(Ported!C$42,0))))</f>
        <v>5.00083693352174+2.00300544733848i</v>
      </c>
      <c r="G14" s="30" t="str">
        <f>IMPRODUCT(F14,IMSUB(COMPLEX(1,0),IMDIV(IMPRODUCT(COMPLEX(Ported!C$41,0),E14),IMSUM(COMPLEX(0-(2*PI()*B14)^2*Ported!C$38,0),IMPRODUCT(C14,COMPLEX(0,0)),IMPRODUCT(COMPLEX(Ported!C$41,0),E14)))))</f>
        <v>-0.842944447524151+0.0492100978354769i</v>
      </c>
      <c r="H14" s="32" t="str">
        <f>IMDIV(COMPLEX(Ported!C$18,0),IMPRODUCT(D14,IMSUM(COMPLEX(Ported!C$16-(2*PI()*B14)^2*Ported!C$15,0),IMPRODUCT(C14,IMSUM(COMPLEX(Ported!C$17,0),IMDIV(COMPLEX(Ported!C$18^2,0),D14))),IMPRODUCT(COMPLEX(Ported!C$14*Ported!C$41/Ported!C$24,0),G14))))</f>
        <v>0.000412093144971492-0.000509718200369213i</v>
      </c>
      <c r="I14" s="27">
        <f t="shared" si="1"/>
        <v>-51.045413762471647</v>
      </c>
      <c r="J14" s="20" t="str">
        <f>IMPRODUCT(IMDIV(IMPRODUCT(COMPLEX(-Ported!C$41,0),F14),IMSUM(IMPRODUCT(COMPLEX(Ported!C$41,0),E14),COMPLEX(Calculations!C$3-(2*PI()*B14)^2*Ported!C$38,0),IMPRODUCT(COMPLEX(Calculations!C$4,0),C14))),H14)</f>
        <v>-0.00253349210688273+0.00353698090406273i</v>
      </c>
      <c r="K14" s="27">
        <f t="shared" si="2"/>
        <v>125.6135186385916</v>
      </c>
      <c r="L14" s="40" t="str">
        <f>IMSUM(IMPRODUCT(COMPLEX(-(Ported!C$14/Ported!C$24),0),H14),IMDIV(IMPRODUCT(COMPLEX(-Ported!C$41,0),J14),IMSUM(COMPLEX(Ported!C$41,0),IMPRODUCT(COMPLEX(Ported!C$42,0),C14))),IMDIV(IMPRODUCT(COMPLEX(Ported!C$42*Ported!C$14/Ported!C$24,0),C14,H14),IMSUM(COMPLEX(Ported!C$41,0),IMPRODUCT(COMPLEX(Ported!C$42,0),C14))))</f>
        <v>-0.000180217598445103-0.00012908745496975i</v>
      </c>
      <c r="M14" s="28">
        <f t="shared" si="3"/>
        <v>-144.3864813614064</v>
      </c>
      <c r="N14" s="39" t="str">
        <f>IMPRODUCT(COMPLEX((Ported!C$10*Ported!C$14)/(2*PI()),0),C14,C14,H14)</f>
        <v>-0.00799497885059608+0.00988899301394025i</v>
      </c>
      <c r="O14" s="28">
        <f t="shared" si="4"/>
        <v>128.95458623752836</v>
      </c>
      <c r="P14" s="26" t="str">
        <f>IMPRODUCT(COMPLEX((Ported!C$10*Ported!C$24)/(2*PI()),0),C14,C14,J14)</f>
        <v>0.00846994852366444-0.011824803442335i</v>
      </c>
      <c r="Q14" s="23">
        <f t="shared" si="5"/>
        <v>-54.386481361408421</v>
      </c>
      <c r="R14" s="41" t="str">
        <f>IMPRODUCT(COMPLEX((Ported!C$10*Ported!C$24)/(2*PI()),0),C14,C14,L14)</f>
        <v>0.000602501889680885+0.000431564043824844i</v>
      </c>
      <c r="S14" s="33">
        <f t="shared" si="6"/>
        <v>35.613518638593611</v>
      </c>
      <c r="T14" s="38">
        <f>IMABS(IMDIV(D14,IMSUB(COMPLEX(1,0),IMPRODUCT(COMPLEX(Ported!C$18,0),IMPRODUCT(C14,H14)))))</f>
        <v>9.3960505216690944</v>
      </c>
      <c r="U14" s="21">
        <f>20*LOG10(Ported!C$29*50000*IMABS(N14))</f>
        <v>85.894052946319221</v>
      </c>
      <c r="V14" s="22">
        <f>20*LOG10(Ported!C$29*50000*IMABS(P14))</f>
        <v>87.061092805507514</v>
      </c>
      <c r="W14" s="22">
        <f>20*LOG10(Ported!C$29*50000*IMABS(R14))</f>
        <v>61.204382464533644</v>
      </c>
      <c r="X14" s="28">
        <f>1000*Ported!C$29*IMABS(H14)</f>
        <v>20.319392244042131</v>
      </c>
      <c r="Y14" s="28">
        <f>1000*Ported!C$29*IMABS(J14)</f>
        <v>134.87250402012702</v>
      </c>
      <c r="Z14" s="28">
        <f>Ported!C$29*IMABS(IMPRODUCT(C14,J14))</f>
        <v>9.0674896109390559</v>
      </c>
      <c r="AA14" s="28">
        <f>1000*Ported!C$29*IMABS(L14)</f>
        <v>6.8720752048352907</v>
      </c>
      <c r="AB14" s="41" t="str">
        <f t="shared" si="7"/>
        <v>0.00107747156274925-0.00150424638456991i</v>
      </c>
      <c r="AC14" s="28">
        <f>20*LOG10(Ported!C$29*50000*IMABS(AB14))</f>
        <v>69.151593724129299</v>
      </c>
      <c r="AD14" s="28">
        <f t="shared" si="8"/>
        <v>2868.0035608494236</v>
      </c>
      <c r="AE14" s="23">
        <f t="shared" si="9"/>
        <v>-54.386481361408585</v>
      </c>
      <c r="AG14" s="64"/>
    </row>
    <row r="15" spans="2:42" s="8" customFormat="1" x14ac:dyDescent="0.25">
      <c r="B15" s="24">
        <v>11</v>
      </c>
      <c r="C15" s="17" t="str">
        <f t="shared" si="0"/>
        <v>69.1150383789754i</v>
      </c>
      <c r="D15" s="18" t="str">
        <f>COMPLEX(Ported!C$19,2*PI()*B15*Ported!C$20)</f>
        <v>6</v>
      </c>
      <c r="E15" s="19" t="str">
        <f>IMSUB(COMPLEX(1,0),IMDIV(COMPLEX(Ported!C$41,0),IMSUM(COMPLEX(Ported!C$41,0),IMPRODUCT(C15,COMPLEX(Ported!C$42,0)))))</f>
        <v>0.868209108214965+0.338263288914923i</v>
      </c>
      <c r="F15" s="19" t="str">
        <f>IMDIV(IMPRODUCT(C15,COMPLEX((Ported!C$42*Ported!C$14/Ported!C$24),0)),IMSUM(COMPLEX(Ported!C$41,0),IMPRODUCT(C15,COMPLEX(Ported!C$42,0))))</f>
        <v>5.03831192332+1.96297867142339i</v>
      </c>
      <c r="G15" s="30" t="str">
        <f>IMPRODUCT(F15,IMSUB(COMPLEX(1,0),IMDIV(IMPRODUCT(COMPLEX(Ported!C$41,0),E15),IMSUM(COMPLEX(0-(2*PI()*B15)^2*Ported!C$38,0),IMPRODUCT(C15,COMPLEX(0,0)),IMPRODUCT(COMPLEX(Ported!C$41,0),E15)))))</f>
        <v>-0.898092364723299+0.0543499872288162i</v>
      </c>
      <c r="H15" s="32" t="str">
        <f>IMDIV(COMPLEX(Ported!C$18,0),IMPRODUCT(D15,IMSUM(COMPLEX(Ported!C$16-(2*PI()*B15)^2*Ported!C$15,0),IMPRODUCT(C15,IMSUM(COMPLEX(Ported!C$17,0),IMDIV(COMPLEX(Ported!C$18^2,0),D15))),IMPRODUCT(COMPLEX(Ported!C$14*Ported!C$41/Ported!C$24,0),G15))))</f>
        <v>0.000395631020216932-0.00051585584313468i</v>
      </c>
      <c r="I15" s="27">
        <f t="shared" si="1"/>
        <v>-52.513920609807876</v>
      </c>
      <c r="J15" s="20" t="str">
        <f>IMPRODUCT(IMDIV(IMPRODUCT(COMPLEX(-Ported!C$41,0),F15),IMSUM(IMPRODUCT(COMPLEX(Ported!C$41,0),E15),COMPLEX(Calculations!C$3-(2*PI()*B15)^2*Ported!C$38,0),IMPRODUCT(COMPLEX(Calculations!C$4,0),C15))),H15)</f>
        <v>-0.00243428757038366+0.00360586662332189i</v>
      </c>
      <c r="K15" s="27">
        <f t="shared" si="2"/>
        <v>124.02292591636775</v>
      </c>
      <c r="L15" s="40" t="str">
        <f>IMSUM(IMPRODUCT(COMPLEX(-(Ported!C$14/Ported!C$24),0),H15),IMDIV(IMPRODUCT(COMPLEX(-Ported!C$41,0),J15),IMSUM(COMPLEX(Ported!C$41,0),IMPRODUCT(COMPLEX(Ported!C$42,0),C15))),IMDIV(IMPRODUCT(COMPLEX(Ported!C$42*Ported!C$14/Ported!C$24,0),C15,H15),IMSUM(COMPLEX(Ported!C$41,0),IMPRODUCT(COMPLEX(Ported!C$42,0),C15))))</f>
        <v>-0.00018887872788828-0.00012751030130582i</v>
      </c>
      <c r="M15" s="28">
        <f t="shared" si="3"/>
        <v>-145.97707408362896</v>
      </c>
      <c r="N15" s="39" t="str">
        <f>IMPRODUCT(COMPLEX((Ported!C$10*Ported!C$14)/(2*PI()),0),C15,C15,H15)</f>
        <v>-0.00811203993305122+0.0105771362339379i</v>
      </c>
      <c r="O15" s="28">
        <f t="shared" si="4"/>
        <v>127.48607939019213</v>
      </c>
      <c r="P15" s="26" t="str">
        <f>IMPRODUCT(COMPLEX((Ported!C$10*Ported!C$24)/(2*PI()),0),C15,C15,J15)</f>
        <v>0.00860103889935838-0.012740565030368i</v>
      </c>
      <c r="Q15" s="23">
        <f t="shared" si="5"/>
        <v>-55.977074083632161</v>
      </c>
      <c r="R15" s="41" t="str">
        <f>IMPRODUCT(COMPLEX((Ported!C$10*Ported!C$24)/(2*PI()),0),C15,C15,L15)</f>
        <v>0.000667362930162102+0.000450530609014043i</v>
      </c>
      <c r="S15" s="33">
        <f t="shared" si="6"/>
        <v>34.022925916371015</v>
      </c>
      <c r="T15" s="38">
        <f>IMABS(IMDIV(D15,IMSUB(COMPLEX(1,0),IMPRODUCT(COMPLEX(Ported!C$18,0),IMPRODUCT(C15,H15)))))</f>
        <v>9.688958142723811</v>
      </c>
      <c r="U15" s="21">
        <f>20*LOG10(Ported!C$29*50000*IMABS(N15))</f>
        <v>86.303043929362758</v>
      </c>
      <c r="V15" s="22">
        <f>20*LOG10(Ported!C$29*50000*IMABS(P15))</f>
        <v>87.541268743439943</v>
      </c>
      <c r="W15" s="22">
        <f>20*LOG10(Ported!C$29*50000*IMABS(R15))</f>
        <v>61.924736551925967</v>
      </c>
      <c r="X15" s="28">
        <f>1000*Ported!C$29*IMABS(H15)</f>
        <v>20.153127300917166</v>
      </c>
      <c r="Y15" s="28">
        <f>1000*Ported!C$29*IMABS(J15)</f>
        <v>134.86970344510752</v>
      </c>
      <c r="Z15" s="28">
        <f>Ported!C$29*IMABS(IMPRODUCT(C15,J15))</f>
        <v>9.3215247297696351</v>
      </c>
      <c r="AA15" s="28">
        <f>1000*Ported!C$29*IMABS(L15)</f>
        <v>7.0646035137912646</v>
      </c>
      <c r="AB15" s="41" t="str">
        <f t="shared" si="7"/>
        <v>0.00115636189646926-0.00171289818741606i</v>
      </c>
      <c r="AC15" s="28">
        <f>20*LOG10(Ported!C$29*50000*IMABS(AB15))</f>
        <v>70.11212596098207</v>
      </c>
      <c r="AD15" s="28">
        <f t="shared" si="8"/>
        <v>3203.3640550415512</v>
      </c>
      <c r="AE15" s="23">
        <f t="shared" si="9"/>
        <v>-55.977074083631649</v>
      </c>
      <c r="AG15" s="64"/>
    </row>
    <row r="16" spans="2:42" s="8" customFormat="1" x14ac:dyDescent="0.25">
      <c r="B16" s="24">
        <v>11.2</v>
      </c>
      <c r="C16" s="17" t="str">
        <f t="shared" si="0"/>
        <v>70.3716754404114i</v>
      </c>
      <c r="D16" s="18" t="str">
        <f>COMPLEX(Ported!C$19,2*PI()*B16*Ported!C$20)</f>
        <v>6</v>
      </c>
      <c r="E16" s="19" t="str">
        <f>IMSUB(COMPLEX(1,0),IMDIV(COMPLEX(Ported!C$41,0),IMSUM(COMPLEX(Ported!C$41,0),IMPRODUCT(C16,COMPLEX(Ported!C$42,0)))))</f>
        <v>0.872278104493539+0.33377988692355i</v>
      </c>
      <c r="F16" s="19" t="str">
        <f>IMDIV(IMPRODUCT(C16,COMPLEX((Ported!C$42*Ported!C$14/Ported!C$24),0)),IMSUM(COMPLEX(Ported!C$41,0),IMPRODUCT(C16,COMPLEX(Ported!C$42,0))))</f>
        <v>5.06192475146512+1.93696100183615i</v>
      </c>
      <c r="G16" s="30" t="str">
        <f>IMPRODUCT(F16,IMSUB(COMPLEX(1,0),IMDIV(IMPRODUCT(COMPLEX(Ported!C$41,0),E16),IMSUM(COMPLEX(0-(2*PI()*B16)^2*Ported!C$38,0),IMPRODUCT(C16,COMPLEX(0,0)),IMPRODUCT(COMPLEX(Ported!C$41,0),E16)))))</f>
        <v>-0.936218113479337+0.0580180611534407i</v>
      </c>
      <c r="H16" s="32" t="str">
        <f>IMDIV(COMPLEX(Ported!C$18,0),IMPRODUCT(D16,IMSUM(COMPLEX(Ported!C$16-(2*PI()*B16)^2*Ported!C$15,0),IMPRODUCT(C16,IMSUM(COMPLEX(Ported!C$17,0),IMDIV(COMPLEX(Ported!C$18^2,0),D16))),IMPRODUCT(COMPLEX(Ported!C$14*Ported!C$41/Ported!C$24,0),G16))))</f>
        <v>0.000384565478532003-0.000519611784437437i</v>
      </c>
      <c r="I16" s="27">
        <f t="shared" si="1"/>
        <v>-53.494800050607587</v>
      </c>
      <c r="J16" s="20" t="str">
        <f>IMPRODUCT(IMDIV(IMPRODUCT(COMPLEX(-Ported!C$41,0),F16),IMSUM(IMPRODUCT(COMPLEX(Ported!C$41,0),E16),COMPLEX(Calculations!C$3-(2*PI()*B16)^2*Ported!C$38,0),IMPRODUCT(COMPLEX(Calculations!C$4,0),C16))),H16)</f>
        <v>-0.00236687873630001+0.00365037896378156i</v>
      </c>
      <c r="K16" s="27">
        <f t="shared" si="2"/>
        <v>122.95907709173541</v>
      </c>
      <c r="L16" s="40" t="str">
        <f>IMSUM(IMPRODUCT(COMPLEX(-(Ported!C$14/Ported!C$24),0),H16),IMDIV(IMPRODUCT(COMPLEX(-Ported!C$41,0),J16),IMSUM(COMPLEX(Ported!C$41,0),IMPRODUCT(COMPLEX(Ported!C$42,0),C16))),IMDIV(IMPRODUCT(COMPLEX(Ported!C$42*Ported!C$14/Ported!C$24,0),C16,H16),IMSUM(COMPLEX(Ported!C$41,0),IMPRODUCT(COMPLEX(Ported!C$42,0),C16))))</f>
        <v>-0.00019468687806834-0.00012623353260268i</v>
      </c>
      <c r="M16" s="28">
        <f t="shared" si="3"/>
        <v>-147.04092290826063</v>
      </c>
      <c r="N16" s="39" t="str">
        <f>IMPRODUCT(COMPLEX((Ported!C$10*Ported!C$14)/(2*PI()),0),C16,C16,H16)</f>
        <v>-0.00817449090734814+0.0110450938639863i</v>
      </c>
      <c r="O16" s="28">
        <f t="shared" si="4"/>
        <v>126.50519994939233</v>
      </c>
      <c r="P16" s="26" t="str">
        <f>IMPRODUCT(COMPLEX((Ported!C$10*Ported!C$24)/(2*PI()),0),C16,C16,J16)</f>
        <v>0.00866973281077622-0.013371116056219i</v>
      </c>
      <c r="Q16" s="23">
        <f t="shared" si="5"/>
        <v>-57.040922908264683</v>
      </c>
      <c r="R16" s="41" t="str">
        <f>IMPRODUCT(COMPLEX((Ported!C$10*Ported!C$24)/(2*PI()),0),C16,C16,L16)</f>
        <v>0.000713126189664975+0.000462385749908112i</v>
      </c>
      <c r="S16" s="33">
        <f t="shared" si="6"/>
        <v>32.959077091739381</v>
      </c>
      <c r="T16" s="38">
        <f>IMABS(IMDIV(D16,IMSUB(COMPLEX(1,0),IMPRODUCT(COMPLEX(Ported!C$18,0),IMPRODUCT(C16,H16)))))</f>
        <v>9.8980108528079924</v>
      </c>
      <c r="U16" s="21">
        <f>20*LOG10(Ported!C$29*50000*IMABS(N16))</f>
        <v>86.567031095315485</v>
      </c>
      <c r="V16" s="22">
        <f>20*LOG10(Ported!C$29*50000*IMABS(P16))</f>
        <v>87.854133434955273</v>
      </c>
      <c r="W16" s="22">
        <f>20*LOG10(Ported!C$29*50000*IMABS(R16))</f>
        <v>62.394107993680457</v>
      </c>
      <c r="X16" s="28">
        <f>1000*Ported!C$29*IMABS(H16)</f>
        <v>20.039696112127512</v>
      </c>
      <c r="Y16" s="28">
        <f>1000*Ported!C$29*IMABS(J16)</f>
        <v>134.86739284140148</v>
      </c>
      <c r="Z16" s="28">
        <f>Ported!C$29*IMABS(IMPRODUCT(C16,J16))</f>
        <v>9.4908443965295586</v>
      </c>
      <c r="AA16" s="28">
        <f>1000*Ported!C$29*IMABS(L16)</f>
        <v>7.1929276182080395</v>
      </c>
      <c r="AB16" s="41" t="str">
        <f t="shared" si="7"/>
        <v>0.00120836809309305-0.00186363644232459i</v>
      </c>
      <c r="AC16" s="28">
        <f>20*LOG10(Ported!C$29*50000*IMABS(AB16))</f>
        <v>70.73800415297606</v>
      </c>
      <c r="AD16" s="28">
        <f t="shared" si="8"/>
        <v>3442.7081499527908</v>
      </c>
      <c r="AE16" s="23">
        <f t="shared" si="9"/>
        <v>-57.040922908265571</v>
      </c>
      <c r="AG16" s="64"/>
    </row>
    <row r="17" spans="2:34" x14ac:dyDescent="0.25">
      <c r="B17" s="24">
        <v>11.5</v>
      </c>
      <c r="C17" s="17" t="str">
        <f t="shared" si="0"/>
        <v>72.2566310325652i</v>
      </c>
      <c r="D17" s="18" t="str">
        <f>COMPLEX(Ported!C$19,2*PI()*B17*Ported!C$20)</f>
        <v>6</v>
      </c>
      <c r="E17" s="19" t="str">
        <f>IMSUB(COMPLEX(1,0),IMDIV(COMPLEX(Ported!C$41,0),IMSUM(COMPLEX(Ported!C$41,0),IMPRODUCT(C17,COMPLEX(Ported!C$42,0)))))</f>
        <v>0.878052911486738+0.327224687510587i</v>
      </c>
      <c r="F17" s="19" t="str">
        <f>IMDIV(IMPRODUCT(C17,COMPLEX((Ported!C$42*Ported!C$14/Ported!C$24),0)),IMSUM(COMPLEX(Ported!C$41,0),IMPRODUCT(C17,COMPLEX(Ported!C$42,0))))</f>
        <v>5.0954365847935+1.89892046638268i</v>
      </c>
      <c r="G17" s="30" t="str">
        <f>IMPRODUCT(F17,IMSUB(COMPLEX(1,0),IMDIV(IMPRODUCT(COMPLEX(Ported!C$41,0),E17),IMSUM(COMPLEX(0-(2*PI()*B17)^2*Ported!C$38,0),IMPRODUCT(C17,COMPLEX(0,0)),IMPRODUCT(COMPLEX(Ported!C$41,0),E17)))))</f>
        <v>-0.995521216127782+0.0639074884056459i</v>
      </c>
      <c r="H17" s="32" t="str">
        <f>IMDIV(COMPLEX(Ported!C$18,0),IMPRODUCT(D17,IMSUM(COMPLEX(Ported!C$16-(2*PI()*B17)^2*Ported!C$15,0),IMPRODUCT(C17,IMSUM(COMPLEX(Ported!C$17,0),IMDIV(COMPLEX(Ported!C$18^2,0),D17))),IMPRODUCT(COMPLEX(Ported!C$14*Ported!C$41/Ported!C$24,0),G17))))</f>
        <v>0.000367847342120637-0.000524736485379675i</v>
      </c>
      <c r="I17" s="27">
        <f t="shared" si="1"/>
        <v>-54.96902701212489</v>
      </c>
      <c r="J17" s="20" t="str">
        <f>IMPRODUCT(IMDIV(IMPRODUCT(COMPLEX(-Ported!C$41,0),F17),IMSUM(IMPRODUCT(COMPLEX(Ported!C$41,0),E17),COMPLEX(Calculations!C$3-(2*PI()*B17)^2*Ported!C$38,0),IMPRODUCT(COMPLEX(Calculations!C$4,0),C17))),H17)</f>
        <v>-0.00226388444816402+0.00371497204870373i</v>
      </c>
      <c r="K17" s="27">
        <f t="shared" si="2"/>
        <v>121.35791022477144</v>
      </c>
      <c r="L17" s="40" t="str">
        <f>IMSUM(IMPRODUCT(COMPLEX(-(Ported!C$14/Ported!C$24),0),H17),IMDIV(IMPRODUCT(COMPLEX(-Ported!C$41,0),J17),IMSUM(COMPLEX(Ported!C$41,0),IMPRODUCT(COMPLEX(Ported!C$42,0),C17))),IMDIV(IMPRODUCT(COMPLEX(Ported!C$42*Ported!C$14/Ported!C$24,0),C17,H17),IMSUM(COMPLEX(Ported!C$41,0),IMPRODUCT(COMPLEX(Ported!C$42,0),C17))))</f>
        <v>-0.000203438945524245-0.00012397462454232i</v>
      </c>
      <c r="M17" s="28">
        <f t="shared" si="3"/>
        <v>-148.64208977522676</v>
      </c>
      <c r="N17" s="39" t="str">
        <f>IMPRODUCT(COMPLEX((Ported!C$10*Ported!C$14)/(2*PI()),0),C17,C17,H17)</f>
        <v>-0.00824361454275065+0.0117595666100236i</v>
      </c>
      <c r="O17" s="28">
        <f t="shared" si="4"/>
        <v>125.030972987875</v>
      </c>
      <c r="P17" s="26" t="str">
        <f>IMPRODUCT(COMPLEX((Ported!C$10*Ported!C$24)/(2*PI()),0),C17,C17,J17)</f>
        <v>0.00874266015370873-0.0143464646036522i</v>
      </c>
      <c r="Q17" s="23">
        <f t="shared" si="5"/>
        <v>-58.642089775228584</v>
      </c>
      <c r="R17" s="41" t="str">
        <f>IMPRODUCT(COMPLEX((Ported!C$10*Ported!C$24)/(2*PI()),0),C17,C17,L17)</f>
        <v>0.000785639728295212+0.000478764722703115i</v>
      </c>
      <c r="S17" s="33">
        <f t="shared" si="6"/>
        <v>31.35791022477326</v>
      </c>
      <c r="T17" s="38">
        <f>IMABS(IMDIV(D17,IMSUB(COMPLEX(1,0),IMPRODUCT(COMPLEX(Ported!C$18,0),IMPRODUCT(C17,H17)))))</f>
        <v>10.234323284847715</v>
      </c>
      <c r="U17" s="21">
        <f>20*LOG10(Ported!C$29*50000*IMABS(N17))</f>
        <v>86.950459566520152</v>
      </c>
      <c r="V17" s="22">
        <f>20*LOG10(Ported!C$29*50000*IMABS(P17))</f>
        <v>88.313052760085839</v>
      </c>
      <c r="W17" s="22">
        <f>20*LOG10(Ported!C$29*50000*IMABS(R17))</f>
        <v>63.082623672479549</v>
      </c>
      <c r="X17" s="28">
        <f>1000*Ported!C$29*IMABS(H17)</f>
        <v>19.865656404767286</v>
      </c>
      <c r="Y17" s="28">
        <f>1000*Ported!C$29*IMABS(J17)</f>
        <v>134.86314805281179</v>
      </c>
      <c r="Z17" s="28">
        <f>Ported!C$29*IMABS(IMPRODUCT(C17,J17))</f>
        <v>9.7447567287422263</v>
      </c>
      <c r="AA17" s="28">
        <f>1000*Ported!C$29*IMABS(L17)</f>
        <v>7.3853628695586329</v>
      </c>
      <c r="AB17" s="41" t="str">
        <f t="shared" si="7"/>
        <v>0.00128468533925329-0.00210813327092548i</v>
      </c>
      <c r="AC17" s="28">
        <f>20*LOG10(Ported!C$29*50000*IMABS(AB17))</f>
        <v>71.656116185443523</v>
      </c>
      <c r="AD17" s="28">
        <f t="shared" si="8"/>
        <v>3826.5360506694428</v>
      </c>
      <c r="AE17" s="23">
        <f t="shared" si="9"/>
        <v>-58.642089775228023</v>
      </c>
      <c r="AF17" s="8"/>
      <c r="AG17" s="64"/>
      <c r="AH17" s="8"/>
    </row>
    <row r="18" spans="2:34" x14ac:dyDescent="0.25">
      <c r="B18" s="24">
        <v>11.7</v>
      </c>
      <c r="C18" s="17" t="str">
        <f t="shared" si="0"/>
        <v>73.5132680940011i</v>
      </c>
      <c r="D18" s="18" t="str">
        <f>COMPLEX(Ported!C$19,2*PI()*B18*Ported!C$20)</f>
        <v>6</v>
      </c>
      <c r="E18" s="19" t="str">
        <f>IMSUB(COMPLEX(1,0),IMDIV(COMPLEX(Ported!C$41,0),IMSUM(COMPLEX(Ported!C$41,0),IMPRODUCT(C18,COMPLEX(Ported!C$42,0)))))</f>
        <v>0.881697405624105+0.322966082646193i</v>
      </c>
      <c r="F18" s="19" t="str">
        <f>IMDIV(IMPRODUCT(C18,COMPLEX((Ported!C$42*Ported!C$14/Ported!C$24),0)),IMSUM(COMPLEX(Ported!C$41,0),IMPRODUCT(C18,COMPLEX(Ported!C$42,0))))</f>
        <v>5.11658598082381+1.87420731898309i</v>
      </c>
      <c r="G18" s="30" t="str">
        <f>IMPRODUCT(F18,IMSUB(COMPLEX(1,0),IMDIV(IMPRODUCT(COMPLEX(Ported!C$41,0),E18),IMSUM(COMPLEX(0-(2*PI()*B18)^2*Ported!C$38,0),IMPRODUCT(C18,COMPLEX(0,0)),IMPRODUCT(COMPLEX(Ported!C$41,0),E18)))))</f>
        <v>-1.03651170951161+0.0681076890316384i</v>
      </c>
      <c r="H18" s="32" t="str">
        <f>IMDIV(COMPLEX(Ported!C$18,0),IMPRODUCT(D18,IMSUM(COMPLEX(Ported!C$16-(2*PI()*B18)^2*Ported!C$15,0),IMPRODUCT(C18,IMSUM(COMPLEX(Ported!C$17,0),IMDIV(COMPLEX(Ported!C$18^2,0),D18))),IMPRODUCT(COMPLEX(Ported!C$14*Ported!C$41/Ported!C$24,0),G18))))</f>
        <v>0.000356631721322913-0.00052781051942428i</v>
      </c>
      <c r="I18" s="27">
        <f t="shared" si="1"/>
        <v>-55.953839655781536</v>
      </c>
      <c r="J18" s="20" t="str">
        <f>IMPRODUCT(IMDIV(IMPRODUCT(COMPLEX(-Ported!C$41,0),F18),IMSUM(IMPRODUCT(COMPLEX(Ported!C$41,0),E18),COMPLEX(Calculations!C$3-(2*PI()*B18)^2*Ported!C$38,0),IMPRODUCT(COMPLEX(Calculations!C$4,0),C18))),H18)</f>
        <v>-0.0021939842236022+0.00375654928442699i</v>
      </c>
      <c r="K18" s="27">
        <f t="shared" si="2"/>
        <v>120.28674169241623</v>
      </c>
      <c r="L18" s="40" t="str">
        <f>IMSUM(IMPRODUCT(COMPLEX(-(Ported!C$14/Ported!C$24),0),H18),IMDIV(IMPRODUCT(COMPLEX(-Ported!C$41,0),J18),IMSUM(COMPLEX(Ported!C$41,0),IMPRODUCT(COMPLEX(Ported!C$42,0),C18))),IMDIV(IMPRODUCT(COMPLEX(Ported!C$42*Ported!C$14/Ported!C$24,0),C18,H18),IMSUM(COMPLEX(Ported!C$41,0),IMPRODUCT(COMPLEX(Ported!C$42,0),C18))))</f>
        <v>-0.000209293460132351-0.00012223626388641i</v>
      </c>
      <c r="M18" s="28">
        <f t="shared" si="3"/>
        <v>-149.71325830758224</v>
      </c>
      <c r="N18" s="39" t="str">
        <f>IMPRODUCT(COMPLEX((Ported!C$10*Ported!C$14)/(2*PI()),0),C18,C18,H18)</f>
        <v>-0.00827267697858692+0.012243459210247i</v>
      </c>
      <c r="O18" s="28">
        <f t="shared" si="4"/>
        <v>124.04616034421835</v>
      </c>
      <c r="P18" s="26" t="str">
        <f>IMPRODUCT(COMPLEX((Ported!C$10*Ported!C$24)/(2*PI()),0),C18,C18,J18)</f>
        <v>0.00876998567106107-0.0150160074273318i</v>
      </c>
      <c r="Q18" s="23">
        <f t="shared" si="5"/>
        <v>-59.713258307583793</v>
      </c>
      <c r="R18" s="41" t="str">
        <f>IMPRODUCT(COMPLEX((Ported!C$10*Ported!C$24)/(2*PI()),0),C18,C18,L18)</f>
        <v>0.000836606128094161+0.000488613487387695i</v>
      </c>
      <c r="S18" s="33">
        <f t="shared" si="6"/>
        <v>30.286741692417735</v>
      </c>
      <c r="T18" s="38">
        <f>IMABS(IMDIV(D18,IMSUB(COMPLEX(1,0),IMPRODUCT(COMPLEX(Ported!C$18,0),IMPRODUCT(C18,H18)))))</f>
        <v>10.475038615262495</v>
      </c>
      <c r="U18" s="21">
        <f>20*LOG10(Ported!C$29*50000*IMABS(N18))</f>
        <v>87.19795663664398</v>
      </c>
      <c r="V18" s="22">
        <f>20*LOG10(Ported!C$29*50000*IMABS(P18))</f>
        <v>88.612353133827426</v>
      </c>
      <c r="W18" s="22">
        <f>20*LOG10(Ported!C$29*50000*IMABS(R18))</f>
        <v>63.531684474072001</v>
      </c>
      <c r="X18" s="28">
        <f>1000*Ported!C$29*IMABS(H18)</f>
        <v>19.747027473394422</v>
      </c>
      <c r="Y18" s="28">
        <f>1000*Ported!C$29*IMABS(J18)</f>
        <v>134.85972474039184</v>
      </c>
      <c r="Z18" s="28">
        <f>Ported!C$29*IMABS(IMPRODUCT(C18,J18))</f>
        <v>9.913979099923603</v>
      </c>
      <c r="AA18" s="28">
        <f>1000*Ported!C$29*IMABS(L18)</f>
        <v>7.5136132355358782</v>
      </c>
      <c r="AB18" s="41" t="str">
        <f t="shared" si="7"/>
        <v>0.00133391482056831-0.0022839347296971i</v>
      </c>
      <c r="AC18" s="28">
        <f>20*LOG10(Ported!C$29*50000*IMABS(AB18))</f>
        <v>72.254937414887081</v>
      </c>
      <c r="AD18" s="28">
        <f t="shared" si="8"/>
        <v>4099.6508451100053</v>
      </c>
      <c r="AE18" s="23">
        <f t="shared" si="9"/>
        <v>-59.713258307584532</v>
      </c>
      <c r="AF18" s="8"/>
      <c r="AG18" s="64"/>
      <c r="AH18" s="8"/>
    </row>
    <row r="19" spans="2:34" x14ac:dyDescent="0.25">
      <c r="B19" s="24">
        <v>12</v>
      </c>
      <c r="C19" s="17" t="str">
        <f t="shared" si="0"/>
        <v>75.398223686155i</v>
      </c>
      <c r="D19" s="18" t="str">
        <f>COMPLEX(Ported!C$19,2*PI()*B19*Ported!C$20)</f>
        <v>6</v>
      </c>
      <c r="E19" s="19" t="str">
        <f>IMSUB(COMPLEX(1,0),IMDIV(COMPLEX(Ported!C$41,0),IMSUM(COMPLEX(Ported!C$41,0),IMPRODUCT(C19,COMPLEX(Ported!C$42,0)))))</f>
        <v>0.886877828054298+0.316742081447964i</v>
      </c>
      <c r="F19" s="19" t="str">
        <f>IMDIV(IMPRODUCT(C19,COMPLEX((Ported!C$42*Ported!C$14/Ported!C$24),0)),IMSUM(COMPLEX(Ported!C$41,0),IMPRODUCT(C19,COMPLEX(Ported!C$42,0))))</f>
        <v>5.14664853585914+1.83808876280684i</v>
      </c>
      <c r="G19" s="30" t="str">
        <f>IMPRODUCT(F19,IMSUB(COMPLEX(1,0),IMDIV(IMPRODUCT(COMPLEX(Ported!C$41,0),E19),IMSUM(COMPLEX(0-(2*PI()*B19)^2*Ported!C$38,0),IMPRODUCT(C19,COMPLEX(0,0)),IMPRODUCT(COMPLEX(Ported!C$41,0),E19)))))</f>
        <v>-1.10026237297537+0.0748477804745116i</v>
      </c>
      <c r="H19" s="32" t="str">
        <f>IMDIV(COMPLEX(Ported!C$18,0),IMPRODUCT(D19,IMSUM(COMPLEX(Ported!C$16-(2*PI()*B19)^2*Ported!C$15,0),IMPRODUCT(C19,IMSUM(COMPLEX(Ported!C$17,0),IMDIV(COMPLEX(Ported!C$18^2,0),D19))),IMPRODUCT(COMPLEX(Ported!C$14*Ported!C$41/Ported!C$24,0),G19))))</f>
        <v>0.000339719837986879-0.000531903260621172i</v>
      </c>
      <c r="I19" s="27">
        <f t="shared" si="1"/>
        <v>-57.434147318840445</v>
      </c>
      <c r="J19" s="20" t="str">
        <f>IMPRODUCT(IMDIV(IMPRODUCT(COMPLEX(-Ported!C$41,0),F19),IMSUM(IMPRODUCT(COMPLEX(Ported!C$41,0),E19),COMPLEX(Calculations!C$3-(2*PI()*B19)^2*Ported!C$38,0),IMPRODUCT(COMPLEX(Calculations!C$4,0),C19))),H19)</f>
        <v>-0.00208730735378499+0.00381662762238041i</v>
      </c>
      <c r="K19" s="27">
        <f t="shared" si="2"/>
        <v>118.67417638707877</v>
      </c>
      <c r="L19" s="40" t="str">
        <f>IMSUM(IMPRODUCT(COMPLEX(-(Ported!C$14/Ported!C$24),0),H19),IMDIV(IMPRODUCT(COMPLEX(-Ported!C$41,0),J19),IMSUM(COMPLEX(Ported!C$41,0),IMPRODUCT(COMPLEX(Ported!C$42,0),C19))),IMDIV(IMPRODUCT(COMPLEX(Ported!C$42*Ported!C$14/Ported!C$24,0),C19,H19),IMSUM(COMPLEX(Ported!C$41,0),IMPRODUCT(COMPLEX(Ported!C$42,0),C19))))</f>
        <v>-0.000218093006993165-0.00011927470593057i</v>
      </c>
      <c r="M19" s="28">
        <f t="shared" si="3"/>
        <v>-151.32582361292125</v>
      </c>
      <c r="N19" s="39" t="str">
        <f>IMPRODUCT(COMPLEX((Ported!C$10*Ported!C$14)/(2*PI()),0),C19,C19,H19)</f>
        <v>-0.00828968015004366+0.0129792476278207i</v>
      </c>
      <c r="O19" s="28">
        <f t="shared" si="4"/>
        <v>122.56585268115954</v>
      </c>
      <c r="P19" s="26" t="str">
        <f>IMPRODUCT(COMPLEX((Ported!C$10*Ported!C$24)/(2*PI()),0),C19,C19,J19)</f>
        <v>0.00877692839426904-0.0160485552300089i</v>
      </c>
      <c r="Q19" s="23">
        <f t="shared" si="5"/>
        <v>-61.325823612921205</v>
      </c>
      <c r="R19" s="41" t="str">
        <f>IMPRODUCT(COMPLEX((Ported!C$10*Ported!C$24)/(2*PI()),0),C19,C19,L19)</f>
        <v>0.000917060298857646+0.000501538765386798i</v>
      </c>
      <c r="S19" s="33">
        <f t="shared" si="6"/>
        <v>28.674176387078731</v>
      </c>
      <c r="T19" s="38">
        <f>IMABS(IMDIV(D19,IMSUB(COMPLEX(1,0),IMPRODUCT(COMPLEX(Ported!C$18,0),IMPRODUCT(C19,H19)))))</f>
        <v>10.86348231441557</v>
      </c>
      <c r="U19" s="21">
        <f>20*LOG10(Ported!C$29*50000*IMABS(N19))</f>
        <v>87.557408494405294</v>
      </c>
      <c r="V19" s="22">
        <f>20*LOG10(Ported!C$29*50000*IMABS(P19))</f>
        <v>89.051771281714281</v>
      </c>
      <c r="W19" s="22">
        <f>20*LOG10(Ported!C$29*50000*IMABS(R19))</f>
        <v>64.191010307988336</v>
      </c>
      <c r="X19" s="28">
        <f>1000*Ported!C$29*IMABS(H19)</f>
        <v>19.565166795838881</v>
      </c>
      <c r="Y19" s="28">
        <f>1000*Ported!C$29*IMABS(J19)</f>
        <v>134.85355745991961</v>
      </c>
      <c r="Z19" s="28">
        <f>Ported!C$29*IMABS(IMPRODUCT(C19,J19))</f>
        <v>10.167718690236773</v>
      </c>
      <c r="AA19" s="28">
        <f>1000*Ported!C$29*IMABS(L19)</f>
        <v>7.705917569138216</v>
      </c>
      <c r="AB19" s="41" t="str">
        <f t="shared" si="7"/>
        <v>0.00140430854308303-0.0025677688368014i</v>
      </c>
      <c r="AC19" s="28">
        <f>20*LOG10(Ported!C$29*50000*IMABS(AB19))</f>
        <v>73.134170934832682</v>
      </c>
      <c r="AD19" s="28">
        <f t="shared" si="8"/>
        <v>4536.3708047763439</v>
      </c>
      <c r="AE19" s="23">
        <f t="shared" si="9"/>
        <v>-61.325823612921269</v>
      </c>
      <c r="AG19" s="64"/>
    </row>
    <row r="20" spans="2:34" x14ac:dyDescent="0.25">
      <c r="B20" s="24">
        <v>12.3</v>
      </c>
      <c r="C20" s="17" t="str">
        <f t="shared" si="0"/>
        <v>77.2831792783089i</v>
      </c>
      <c r="D20" s="18" t="str">
        <f>COMPLEX(Ported!C$19,2*PI()*B20*Ported!C$20)</f>
        <v>6</v>
      </c>
      <c r="E20" s="19" t="str">
        <f>IMSUB(COMPLEX(1,0),IMDIV(COMPLEX(Ported!C$41,0),IMSUM(COMPLEX(Ported!C$41,0),IMPRODUCT(C20,COMPLEX(Ported!C$42,0)))))</f>
        <v>0.891738570299559+0.310710303240265i</v>
      </c>
      <c r="F20" s="19" t="str">
        <f>IMDIV(IMPRODUCT(C20,COMPLEX((Ported!C$42*Ported!C$14/Ported!C$24),0)),IMSUM(COMPLEX(Ported!C$41,0),IMPRODUCT(C20,COMPLEX(Ported!C$42,0))))</f>
        <v>5.17485595199745+1.80308569756009i</v>
      </c>
      <c r="G20" s="30" t="str">
        <f>IMPRODUCT(F20,IMSUB(COMPLEX(1,0),IMDIV(IMPRODUCT(COMPLEX(Ported!C$41,0),E20),IMSUM(COMPLEX(0-(2*PI()*B20)^2*Ported!C$38,0),IMPRODUCT(C20,COMPLEX(0,0)),IMPRODUCT(COMPLEX(Ported!C$41,0),E20)))))</f>
        <v>-1.16683587043635+0.0821531961051064i</v>
      </c>
      <c r="H20" s="32" t="str">
        <f>IMDIV(COMPLEX(Ported!C$18,0),IMPRODUCT(D20,IMSUM(COMPLEX(Ported!C$16-(2*PI()*B20)^2*Ported!C$15,0),IMPRODUCT(C20,IMSUM(COMPLEX(Ported!C$17,0),IMDIV(COMPLEX(Ported!C$18^2,0),D20))),IMPRODUCT(COMPLEX(Ported!C$14*Ported!C$41/Ported!C$24,0),G20))))</f>
        <v>0.00032272233459257-0.000535368991317908i</v>
      </c>
      <c r="I20" s="27">
        <f t="shared" si="1"/>
        <v>-58.918277607502425</v>
      </c>
      <c r="J20" s="20" t="str">
        <f>IMPRODUCT(IMDIV(IMPRODUCT(COMPLEX(-Ported!C$41,0),F20),IMSUM(IMPRODUCT(COMPLEX(Ported!C$41,0),E20),COMPLEX(Calculations!C$3-(2*PI()*B20)^2*Ported!C$38,0),IMPRODUCT(COMPLEX(Calculations!C$4,0),C20))),H20)</f>
        <v>-0.00197847544593238+0.00387388705669446i</v>
      </c>
      <c r="K20" s="27">
        <f t="shared" si="2"/>
        <v>117.0543550406037</v>
      </c>
      <c r="L20" s="40" t="str">
        <f>IMSUM(IMPRODUCT(COMPLEX(-(Ported!C$14/Ported!C$24),0),H20),IMDIV(IMPRODUCT(COMPLEX(-Ported!C$41,0),J20),IMSUM(COMPLEX(Ported!C$41,0),IMPRODUCT(COMPLEX(Ported!C$42,0),C20))),IMDIV(IMPRODUCT(COMPLEX(Ported!C$42*Ported!C$14/Ported!C$24,0),C20,H20),IMSUM(COMPLEX(Ported!C$41,0),IMPRODUCT(COMPLEX(Ported!C$42,0),C20))))</f>
        <v>-0.000226899099034957-0.00011588213326175i</v>
      </c>
      <c r="M20" s="28">
        <f t="shared" si="3"/>
        <v>-152.94564495939662</v>
      </c>
      <c r="N20" s="39" t="str">
        <f>IMPRODUCT(COMPLEX((Ported!C$10*Ported!C$14)/(2*PI()),0),C20,C20,H20)</f>
        <v>-0.00827358282883271+0.0137251724435167i</v>
      </c>
      <c r="O20" s="28">
        <f t="shared" si="4"/>
        <v>121.08172239249767</v>
      </c>
      <c r="P20" s="26" t="str">
        <f>IMPRODUCT(COMPLEX((Ported!C$10*Ported!C$24)/(2*PI()),0),C20,C20,J20)</f>
        <v>0.00874046519188852-0.0171139728046454i</v>
      </c>
      <c r="Q20" s="23">
        <f t="shared" si="5"/>
        <v>-62.945644959396333</v>
      </c>
      <c r="R20" s="41" t="str">
        <f>IMPRODUCT(COMPLEX((Ported!C$10*Ported!C$24)/(2*PI()),0),C20,C20,L20)</f>
        <v>0.00100238983570064+0.00051194153266774i</v>
      </c>
      <c r="S20" s="33">
        <f t="shared" si="6"/>
        <v>27.054355040603383</v>
      </c>
      <c r="T20" s="38">
        <f>IMABS(IMDIV(D20,IMSUB(COMPLEX(1,0),IMPRODUCT(COMPLEX(Ported!C$18,0),IMPRODUCT(C20,H20)))))</f>
        <v>11.288349319285061</v>
      </c>
      <c r="U20" s="21">
        <f>20*LOG10(Ported!C$29*50000*IMABS(N20))</f>
        <v>87.903134286877702</v>
      </c>
      <c r="V20" s="22">
        <f>20*LOG10(Ported!C$29*50000*IMABS(P20))</f>
        <v>89.480236488634617</v>
      </c>
      <c r="W20" s="22">
        <f>20*LOG10(Ported!C$29*50000*IMABS(R20))</f>
        <v>64.833952822743996</v>
      </c>
      <c r="X20" s="28">
        <f>1000*Ported!C$29*IMABS(H20)</f>
        <v>19.378587288225042</v>
      </c>
      <c r="Y20" s="28">
        <f>1000*Ported!C$29*IMABS(J20)</f>
        <v>134.84595931459381</v>
      </c>
      <c r="Z20" s="28">
        <f>Ported!C$29*IMABS(IMPRODUCT(C20,J20))</f>
        <v>10.421324448665288</v>
      </c>
      <c r="AA20" s="28">
        <f>1000*Ported!C$29*IMABS(L20)</f>
        <v>7.8981204741403275</v>
      </c>
      <c r="AB20" s="41" t="str">
        <f t="shared" si="7"/>
        <v>0.00146927219875645-0.00287685882846096i</v>
      </c>
      <c r="AC20" s="28">
        <f>20*LOG10(Ported!C$29*50000*IMABS(AB20))</f>
        <v>73.991590757424177</v>
      </c>
      <c r="AD20" s="28">
        <f t="shared" si="8"/>
        <v>5007.0224410142237</v>
      </c>
      <c r="AE20" s="23">
        <f t="shared" si="9"/>
        <v>-62.945644959397036</v>
      </c>
      <c r="AG20" s="64"/>
    </row>
    <row r="21" spans="2:34" x14ac:dyDescent="0.25">
      <c r="B21" s="24">
        <v>12.6</v>
      </c>
      <c r="C21" s="17" t="str">
        <f t="shared" si="0"/>
        <v>79.1681348704628i</v>
      </c>
      <c r="D21" s="18" t="str">
        <f>COMPLEX(Ported!C$19,2*PI()*B21*Ported!C$20)</f>
        <v>6</v>
      </c>
      <c r="E21" s="19" t="str">
        <f>IMSUB(COMPLEX(1,0),IMDIV(COMPLEX(Ported!C$41,0),IMSUM(COMPLEX(Ported!C$41,0),IMPRODUCT(C21,COMPLEX(Ported!C$42,0)))))</f>
        <v>0.896304284706956+0.30486540296155i</v>
      </c>
      <c r="F21" s="19" t="str">
        <f>IMDIV(IMPRODUCT(C21,COMPLEX((Ported!C$42*Ported!C$14/Ported!C$24),0)),IMSUM(COMPLEX(Ported!C$41,0),IMPRODUCT(C21,COMPLEX(Ported!C$42,0))))</f>
        <v>5.20135128949115+1.7691671052691i</v>
      </c>
      <c r="G21" s="30" t="str">
        <f>IMPRODUCT(F21,IMSUB(COMPLEX(1,0),IMDIV(IMPRODUCT(COMPLEX(Ported!C$41,0),E21),IMSUM(COMPLEX(0-(2*PI()*B21)^2*Ported!C$38,0),IMPRODUCT(C21,COMPLEX(0,0)),IMPRODUCT(COMPLEX(Ported!C$41,0),E21)))))</f>
        <v>-1.23635770713074+0.0900697698249735i</v>
      </c>
      <c r="H21" s="32" t="str">
        <f>IMDIV(COMPLEX(Ported!C$18,0),IMPRODUCT(D21,IMSUM(COMPLEX(Ported!C$16-(2*PI()*B21)^2*Ported!C$15,0),IMPRODUCT(C21,IMSUM(COMPLEX(Ported!C$17,0),IMDIV(COMPLEX(Ported!C$18^2,0),D21))),IMPRODUCT(COMPLEX(Ported!C$14*Ported!C$41/Ported!C$24,0),G21))))</f>
        <v>0.000305662647057804-0.000538202676365292i</v>
      </c>
      <c r="I21" s="27">
        <f t="shared" si="1"/>
        <v>-60.40636075869196</v>
      </c>
      <c r="J21" s="20" t="str">
        <f>IMPRODUCT(IMDIV(IMPRODUCT(COMPLEX(-Ported!C$41,0),F21),IMSUM(IMPRODUCT(COMPLEX(Ported!C$41,0),E21),COMPLEX(Calculations!C$3-(2*PI()*B21)^2*Ported!C$38,0),IMPRODUCT(COMPLEX(Calculations!C$4,0),C21))),H21)</f>
        <v>-0.00186753162297334+0.00392824258042638i</v>
      </c>
      <c r="K21" s="27">
        <f t="shared" si="2"/>
        <v>115.42695104387413</v>
      </c>
      <c r="L21" s="40" t="str">
        <f>IMSUM(IMPRODUCT(COMPLEX(-(Ported!C$14/Ported!C$24),0),H21),IMDIV(IMPRODUCT(COMPLEX(-Ported!C$41,0),J21),IMSUM(COMPLEX(Ported!C$41,0),IMPRODUCT(COMPLEX(Ported!C$42,0),C21))),IMDIV(IMPRODUCT(COMPLEX(Ported!C$42*Ported!C$14/Ported!C$24,0),C21,H21),IMSUM(COMPLEX(Ported!C$41,0),IMPRODUCT(COMPLEX(Ported!C$42,0),C21))))</f>
        <v>-0.00023569455482559-0.000112051897378404i</v>
      </c>
      <c r="M21" s="28">
        <f t="shared" si="3"/>
        <v>-154.57304895612583</v>
      </c>
      <c r="N21" s="39" t="str">
        <f>IMPRODUCT(COMPLEX((Ported!C$10*Ported!C$14)/(2*PI()),0),C21,C21,H21)</f>
        <v>-0.00822314282915111+0.0144790916436258i</v>
      </c>
      <c r="O21" s="28">
        <f t="shared" si="4"/>
        <v>119.593639241308</v>
      </c>
      <c r="P21" s="26" t="str">
        <f>IMPRODUCT(COMPLEX((Ported!C$10*Ported!C$24)/(2*PI()),0),C21,C21,J21)</f>
        <v>0.00865770362343136-0.0182109687482172i</v>
      </c>
      <c r="Q21" s="23">
        <f t="shared" si="5"/>
        <v>-64.573048956125874</v>
      </c>
      <c r="R21" s="41" t="str">
        <f>IMPRODUCT(COMPLEX((Ported!C$10*Ported!C$24)/(2*PI()),0),C21,C21,L21)</f>
        <v>0.00109265812489307+0.000519462217405899i</v>
      </c>
      <c r="S21" s="33">
        <f t="shared" si="6"/>
        <v>25.426951043874105</v>
      </c>
      <c r="T21" s="38">
        <f>IMABS(IMDIV(D21,IMSUB(COMPLEX(1,0),IMPRODUCT(COMPLEX(Ported!C$18,0),IMPRODUCT(C21,H21)))))</f>
        <v>11.754250377747642</v>
      </c>
      <c r="U21" s="21">
        <f>20*LOG10(Ported!C$29*50000*IMABS(N21))</f>
        <v>88.235571514042277</v>
      </c>
      <c r="V21" s="22">
        <f>20*LOG10(Ported!C$29*50000*IMABS(P21))</f>
        <v>89.898256594596432</v>
      </c>
      <c r="W21" s="22">
        <f>20*LOG10(Ported!C$29*50000*IMABS(R21))</f>
        <v>65.461281602269594</v>
      </c>
      <c r="X21" s="28">
        <f>1000*Ported!C$29*IMABS(H21)</f>
        <v>19.18726649217324</v>
      </c>
      <c r="Y21" s="28">
        <f>1000*Ported!C$29*IMABS(J21)</f>
        <v>134.83668763461452</v>
      </c>
      <c r="Z21" s="28">
        <f>Ported!C$29*IMABS(IMPRODUCT(C21,J21))</f>
        <v>10.674769072143617</v>
      </c>
      <c r="AA21" s="28">
        <f>1000*Ported!C$29*IMABS(L21)</f>
        <v>8.0902012580771228</v>
      </c>
      <c r="AB21" s="41" t="str">
        <f t="shared" si="7"/>
        <v>0.00152721891917332-0.0032124148871855i</v>
      </c>
      <c r="AC21" s="28">
        <f>20*LOG10(Ported!C$29*50000*IMABS(AB21))</f>
        <v>74.828228210512449</v>
      </c>
      <c r="AD21" s="28">
        <f t="shared" si="8"/>
        <v>5513.297280245918</v>
      </c>
      <c r="AE21" s="23">
        <f t="shared" si="9"/>
        <v>-64.573048956125362</v>
      </c>
      <c r="AG21" s="64"/>
    </row>
    <row r="22" spans="2:34" x14ac:dyDescent="0.25">
      <c r="B22" s="24">
        <v>12.9</v>
      </c>
      <c r="C22" s="17" t="str">
        <f t="shared" si="0"/>
        <v>81.0530904626167i</v>
      </c>
      <c r="D22" s="18" t="str">
        <f>COMPLEX(Ported!C$19,2*PI()*B22*Ported!C$20)</f>
        <v>6</v>
      </c>
      <c r="E22" s="19" t="str">
        <f>IMSUB(COMPLEX(1,0),IMDIV(COMPLEX(Ported!C$41,0),IMSUM(COMPLEX(Ported!C$41,0),IMPRODUCT(C22,COMPLEX(Ported!C$42,0)))))</f>
        <v>0.900597409568493+0.299201797198835i</v>
      </c>
      <c r="F22" s="19" t="str">
        <f>IMDIV(IMPRODUCT(C22,COMPLEX((Ported!C$42*Ported!C$14/Ported!C$24),0)),IMSUM(COMPLEX(Ported!C$41,0),IMPRODUCT(C22,COMPLEX(Ported!C$42,0))))</f>
        <v>5.22626476019021+1.7363005847808i</v>
      </c>
      <c r="G22" s="30" t="str">
        <f>IMPRODUCT(F22,IMSUB(COMPLEX(1,0),IMDIV(IMPRODUCT(COMPLEX(Ported!C$41,0),E22),IMSUM(COMPLEX(0-(2*PI()*B22)^2*Ported!C$38,0),IMPRODUCT(C22,COMPLEX(0,0)),IMPRODUCT(COMPLEX(Ported!C$41,0),E22)))))</f>
        <v>-1.30896213514933+0.0986476187171135i</v>
      </c>
      <c r="H22" s="32" t="str">
        <f>IMDIV(COMPLEX(Ported!C$18,0),IMPRODUCT(D22,IMSUM(COMPLEX(Ported!C$16-(2*PI()*B22)^2*Ported!C$15,0),IMPRODUCT(C22,IMSUM(COMPLEX(Ported!C$17,0),IMDIV(COMPLEX(Ported!C$18^2,0),D22))),IMPRODUCT(COMPLEX(Ported!C$14*Ported!C$41/Ported!C$24,0),G22))))</f>
        <v>0.000288564590103319-0.000540399984708854i</v>
      </c>
      <c r="I22" s="27">
        <f t="shared" si="1"/>
        <v>-61.898525646428808</v>
      </c>
      <c r="J22" s="20" t="str">
        <f>IMPRODUCT(IMDIV(IMPRODUCT(COMPLEX(-Ported!C$41,0),F22),IMSUM(IMPRODUCT(COMPLEX(Ported!C$41,0),E22),COMPLEX(Calculations!C$3-(2*PI()*B22)^2*Ported!C$38,0),IMPRODUCT(COMPLEX(Calculations!C$4,0),C22))),H22)</f>
        <v>-0.00175452109434204+0.00397960696310948i</v>
      </c>
      <c r="K22" s="27">
        <f t="shared" si="2"/>
        <v>113.79162626479835</v>
      </c>
      <c r="L22" s="40" t="str">
        <f>IMSUM(IMPRODUCT(COMPLEX(-(Ported!C$14/Ported!C$24),0),H22),IMDIV(IMPRODUCT(COMPLEX(-Ported!C$41,0),J22),IMSUM(COMPLEX(Ported!C$41,0),IMPRODUCT(COMPLEX(Ported!C$42,0),C22))),IMDIV(IMPRODUCT(COMPLEX(Ported!C$42*Ported!C$14/Ported!C$24,0),C22,H22),IMSUM(COMPLEX(Ported!C$41,0),IMPRODUCT(COMPLEX(Ported!C$42,0),C22))))</f>
        <v>-0.00024446157059101-0.00010777772436673i</v>
      </c>
      <c r="M22" s="28">
        <f t="shared" si="3"/>
        <v>-156.20837373520064</v>
      </c>
      <c r="N22" s="39" t="str">
        <f>IMPRODUCT(COMPLEX((Ported!C$10*Ported!C$14)/(2*PI()),0),C22,C22,H22)</f>
        <v>-0.00813723450041509+0.0152387422102699i</v>
      </c>
      <c r="O22" s="28">
        <f t="shared" si="4"/>
        <v>118.10147435357115</v>
      </c>
      <c r="P22" s="26" t="str">
        <f>IMPRODUCT(COMPLEX((Ported!C$10*Ported!C$24)/(2*PI()),0),C22,C22,J22)</f>
        <v>0.00852573195653695-0.0193380759964947i</v>
      </c>
      <c r="Q22" s="23">
        <f t="shared" si="5"/>
        <v>-66.208373735201604</v>
      </c>
      <c r="R22" s="41" t="str">
        <f>IMPRODUCT(COMPLEX((Ported!C$10*Ported!C$24)/(2*PI()),0),C22,C22,L22)</f>
        <v>0.00118791038264181+0.000523723534473007i</v>
      </c>
      <c r="S22" s="33">
        <f t="shared" si="6"/>
        <v>23.79162626479944</v>
      </c>
      <c r="T22" s="38">
        <f>IMABS(IMDIV(D22,IMSUB(COMPLEX(1,0),IMPRODUCT(COMPLEX(Ported!C$18,0),IMPRODUCT(C22,H22)))))</f>
        <v>12.266539134615121</v>
      </c>
      <c r="U22" s="21">
        <f>20*LOG10(Ported!C$29*50000*IMABS(N22))</f>
        <v>88.555114772138808</v>
      </c>
      <c r="V22" s="22">
        <f>20*LOG10(Ported!C$29*50000*IMABS(P22))</f>
        <v>90.306300429838458</v>
      </c>
      <c r="W22" s="22">
        <f>20*LOG10(Ported!C$29*50000*IMABS(R22))</f>
        <v>66.073708741145069</v>
      </c>
      <c r="X22" s="28">
        <f>1000*Ported!C$29*IMABS(H22)</f>
        <v>18.991179561985291</v>
      </c>
      <c r="Y22" s="28">
        <f>1000*Ported!C$29*IMABS(J22)</f>
        <v>134.82546804338989</v>
      </c>
      <c r="Z22" s="28">
        <f>Ported!C$29*IMABS(IMPRODUCT(C22,J22))</f>
        <v>10.928020857985521</v>
      </c>
      <c r="AA22" s="28">
        <f>1000*Ported!C$29*IMABS(L22)</f>
        <v>8.2821358940939813</v>
      </c>
      <c r="AB22" s="41" t="str">
        <f t="shared" si="7"/>
        <v>0.00157640783876367-0.00357561025175179i</v>
      </c>
      <c r="AC22" s="28">
        <f>20*LOG10(Ported!C$29*50000*IMABS(AB22))</f>
        <v>75.645038653021743</v>
      </c>
      <c r="AD22" s="28">
        <f t="shared" si="8"/>
        <v>6056.921326679234</v>
      </c>
      <c r="AE22" s="23">
        <f t="shared" si="9"/>
        <v>-66.208373735201306</v>
      </c>
      <c r="AG22" s="64"/>
    </row>
    <row r="23" spans="2:34" x14ac:dyDescent="0.25">
      <c r="B23" s="24">
        <v>13.2</v>
      </c>
      <c r="C23" s="17" t="str">
        <f t="shared" si="0"/>
        <v>82.9380460547705i</v>
      </c>
      <c r="D23" s="18" t="str">
        <f>COMPLEX(Ported!C$19,2*PI()*B23*Ported!C$20)</f>
        <v>6</v>
      </c>
      <c r="E23" s="19" t="str">
        <f>IMSUB(COMPLEX(1,0),IMDIV(COMPLEX(Ported!C$41,0),IMSUM(COMPLEX(Ported!C$41,0),IMPRODUCT(C23,COMPLEX(Ported!C$42,0)))))</f>
        <v>0.904638388770216+0.293713762587734i</v>
      </c>
      <c r="F23" s="19" t="str">
        <f>IMDIV(IMPRODUCT(C23,COMPLEX((Ported!C$42*Ported!C$14/Ported!C$24),0)),IMSUM(COMPLEX(Ported!C$41,0),IMPRODUCT(C23,COMPLEX(Ported!C$42,0))))</f>
        <v>5.24971500218987+1.70445292278892i</v>
      </c>
      <c r="G23" s="30" t="str">
        <f>IMPRODUCT(F23,IMSUB(COMPLEX(1,0),IMDIV(IMPRODUCT(COMPLEX(Ported!C$41,0),E23),IMSUM(COMPLEX(0-(2*PI()*B23)^2*Ported!C$38,0),IMPRODUCT(C23,COMPLEX(0,0)),IMPRODUCT(COMPLEX(Ported!C$41,0),E23)))))</f>
        <v>-1.38479286139538+0.107941620431907i</v>
      </c>
      <c r="H23" s="32" t="str">
        <f>IMDIV(COMPLEX(Ported!C$18,0),IMPRODUCT(D23,IMSUM(COMPLEX(Ported!C$16-(2*PI()*B23)^2*Ported!C$15,0),IMPRODUCT(C23,IMSUM(COMPLEX(Ported!C$17,0),IMDIV(COMPLEX(Ported!C$18^2,0),D23))),IMPRODUCT(COMPLEX(Ported!C$14*Ported!C$41/Ported!C$24,0),G23))))</f>
        <v>0.000271452357748836-0.000541957305337138i</v>
      </c>
      <c r="I23" s="27">
        <f t="shared" si="1"/>
        <v>-63.394898713918273</v>
      </c>
      <c r="J23" s="20" t="str">
        <f>IMPRODUCT(IMDIV(IMPRODUCT(COMPLEX(-Ported!C$41,0),F23),IMSUM(IMPRODUCT(COMPLEX(Ported!C$41,0),E23),COMPLEX(Calculations!C$3-(2*PI()*B23)^2*Ported!C$38,0),IMPRODUCT(COMPLEX(Calculations!C$4,0),C23))),H23)</f>
        <v>-0.00163949141258545+0.00402789057323052i</v>
      </c>
      <c r="K23" s="27">
        <f t="shared" si="2"/>
        <v>112.14803097506912</v>
      </c>
      <c r="L23" s="40" t="str">
        <f>IMSUM(IMPRODUCT(COMPLEX(-(Ported!C$14/Ported!C$24),0),H23),IMDIV(IMPRODUCT(COMPLEX(-Ported!C$41,0),J23),IMSUM(COMPLEX(Ported!C$41,0),IMPRODUCT(COMPLEX(Ported!C$42,0),C23))),IMDIV(IMPRODUCT(COMPLEX(Ported!C$42*Ported!C$14/Ported!C$24,0),C23,H23),IMSUM(COMPLEX(Ported!C$41,0),IMPRODUCT(COMPLEX(Ported!C$42,0),C23))))</f>
        <v>-0.00025318169317449-0.000103053745933962i</v>
      </c>
      <c r="M23" s="28">
        <f t="shared" si="3"/>
        <v>-157.85196902492712</v>
      </c>
      <c r="N23" s="39" t="str">
        <f>IMPRODUCT(COMPLEX((Ported!C$10*Ported!C$14)/(2*PI()),0),C23,C23,H23)</f>
        <v>-0.00801485840334701+0.0160017437275521i</v>
      </c>
      <c r="O23" s="28">
        <f t="shared" si="4"/>
        <v>116.60510128608171</v>
      </c>
      <c r="P23" s="26" t="str">
        <f>IMPRODUCT(COMPLEX((Ported!C$10*Ported!C$24)/(2*PI()),0),C23,C23,J23)</f>
        <v>0.00834162512448281-0.0204936439107917i</v>
      </c>
      <c r="Q23" s="23">
        <f t="shared" si="5"/>
        <v>-67.851969024930838</v>
      </c>
      <c r="R23" s="41" t="str">
        <f>IMPRODUCT(COMPLEX((Ported!C$10*Ported!C$24)/(2*PI()),0),C23,C23,L23)</f>
        <v>0.00128817190296405+0.000524330722110447i</v>
      </c>
      <c r="S23" s="33">
        <f t="shared" si="6"/>
        <v>22.148030975072931</v>
      </c>
      <c r="T23" s="38">
        <f>IMABS(IMDIV(D23,IMSUB(COMPLEX(1,0),IMPRODUCT(COMPLEX(Ported!C$18,0),IMPRODUCT(C23,H23)))))</f>
        <v>12.831440139027187</v>
      </c>
      <c r="U23" s="21">
        <f>20*LOG10(Ported!C$29*50000*IMABS(N23))</f>
        <v>88.862118707868106</v>
      </c>
      <c r="V23" s="22">
        <f>20*LOG10(Ported!C$29*50000*IMABS(P23))</f>
        <v>90.704801011364466</v>
      </c>
      <c r="W23" s="22">
        <f>20*LOG10(Ported!C$29*50000*IMABS(R23))</f>
        <v>66.671893740803313</v>
      </c>
      <c r="X23" s="28">
        <f>1000*Ported!C$29*IMABS(H23)</f>
        <v>18.790299180843334</v>
      </c>
      <c r="Y23" s="28">
        <f>1000*Ported!C$29*IMABS(J23)</f>
        <v>134.81199135814347</v>
      </c>
      <c r="Z23" s="28">
        <f>Ported!C$29*IMABS(IMPRODUCT(C23,J23))</f>
        <v>11.181043147997036</v>
      </c>
      <c r="AA23" s="28">
        <f>1000*Ported!C$29*IMABS(L23)</f>
        <v>8.4738965996549638</v>
      </c>
      <c r="AB23" s="41" t="str">
        <f t="shared" si="7"/>
        <v>0.00161493862409985-0.00396756946112915i</v>
      </c>
      <c r="AC23" s="28">
        <f>20*LOG10(Ported!C$29*50000*IMABS(AB23))</f>
        <v>76.442908070811725</v>
      </c>
      <c r="AD23" s="28">
        <f t="shared" si="8"/>
        <v>6639.6533145833282</v>
      </c>
      <c r="AE23" s="23">
        <f t="shared" si="9"/>
        <v>-67.851969024930497</v>
      </c>
      <c r="AG23" s="64"/>
    </row>
    <row r="24" spans="2:34" x14ac:dyDescent="0.25">
      <c r="B24" s="24">
        <v>13.5</v>
      </c>
      <c r="C24" s="17" t="str">
        <f t="shared" si="0"/>
        <v>84.8230016469244i</v>
      </c>
      <c r="D24" s="18" t="str">
        <f>COMPLEX(Ported!C$19,2*PI()*B24*Ported!C$20)</f>
        <v>6</v>
      </c>
      <c r="E24" s="19" t="str">
        <f>IMSUB(COMPLEX(1,0),IMDIV(COMPLEX(Ported!C$41,0),IMSUM(COMPLEX(Ported!C$41,0),IMPRODUCT(C24,COMPLEX(Ported!C$42,0)))))</f>
        <v>0.908445868619821+0.288395513847563i</v>
      </c>
      <c r="F24" s="19" t="str">
        <f>IMDIV(IMPRODUCT(C24,COMPLEX((Ported!C$42*Ported!C$14/Ported!C$24),0)),IMSUM(COMPLEX(Ported!C$41,0),IMPRODUCT(C24,COMPLEX(Ported!C$42,0))))</f>
        <v>5.2718102220425+1.67359054668016i</v>
      </c>
      <c r="G24" s="30" t="str">
        <f>IMPRODUCT(F24,IMSUB(COMPLEX(1,0),IMDIV(IMPRODUCT(COMPLEX(Ported!C$41,0),E24),IMSUM(COMPLEX(0-(2*PI()*B24)^2*Ported!C$38,0),IMPRODUCT(C24,COMPLEX(0,0)),IMPRODUCT(COMPLEX(Ported!C$41,0),E24)))))</f>
        <v>-1.46400382577463+0.11801195192093i</v>
      </c>
      <c r="H24" s="32" t="str">
        <f>IMDIV(COMPLEX(Ported!C$18,0),IMPRODUCT(D24,IMSUM(COMPLEX(Ported!C$16-(2*PI()*B24)^2*Ported!C$15,0),IMPRODUCT(C24,IMSUM(COMPLEX(Ported!C$17,0),IMDIV(COMPLEX(Ported!C$18^2,0),D24))),IMPRODUCT(COMPLEX(Ported!C$14*Ported!C$41/Ported!C$24,0),G24))))</f>
        <v>0.000254350525336588-0.000542871765590429i</v>
      </c>
      <c r="I24" s="27">
        <f t="shared" si="1"/>
        <v>-64.89560271069854</v>
      </c>
      <c r="J24" s="20" t="str">
        <f>IMPRODUCT(IMDIV(IMPRODUCT(COMPLEX(-Ported!C$41,0),F24),IMSUM(IMPRODUCT(COMPLEX(Ported!C$41,0),E24),COMPLEX(Calculations!C$3-(2*PI()*B24)^2*Ported!C$38,0),IMPRODUCT(COMPLEX(Calculations!C$4,0),C24))),H24)</f>
        <v>-0.00152249276780477+0.00407300120343953i</v>
      </c>
      <c r="K24" s="27">
        <f t="shared" si="2"/>
        <v>110.49580385238444</v>
      </c>
      <c r="L24" s="40" t="str">
        <f>IMSUM(IMPRODUCT(COMPLEX(-(Ported!C$14/Ported!C$24),0),H24),IMDIV(IMPRODUCT(COMPLEX(-Ported!C$41,0),J24),IMSUM(COMPLEX(Ported!C$41,0),IMPRODUCT(COMPLEX(Ported!C$42,0),C24))),IMDIV(IMPRODUCT(COMPLEX(Ported!C$42*Ported!C$14/Ported!C$24,0),C24,H24),IMSUM(COMPLEX(Ported!C$41,0),IMPRODUCT(COMPLEX(Ported!C$42,0),C24))))</f>
        <v>-0.00026183579164969-0.0000978745350731659i</v>
      </c>
      <c r="M24" s="28">
        <f t="shared" si="3"/>
        <v>-159.50419614761557</v>
      </c>
      <c r="N24" s="39" t="str">
        <f>IMPRODUCT(COMPLEX((Ported!C$10*Ported!C$14)/(2*PI()),0),C24,C24,H24)</f>
        <v>-0.00785515121058847+0.0167656025126304i</v>
      </c>
      <c r="O24" s="28">
        <f t="shared" si="4"/>
        <v>115.10439728930145</v>
      </c>
      <c r="P24" s="26" t="str">
        <f>IMPRODUCT(COMPLEX((Ported!C$10*Ported!C$24)/(2*PI()),0),C24,C24,J24)</f>
        <v>0.00810245140966451-0.0216758299548163i</v>
      </c>
      <c r="Q24" s="23">
        <f t="shared" si="5"/>
        <v>-69.504196147615545</v>
      </c>
      <c r="R24" s="41" t="str">
        <f>IMPRODUCT(COMPLEX((Ported!C$10*Ported!C$24)/(2*PI()),0),C24,C24,L24)</f>
        <v>0.00139344621138108+0.000520871876335587i</v>
      </c>
      <c r="S24" s="33">
        <f t="shared" si="6"/>
        <v>20.495803852384437</v>
      </c>
      <c r="T24" s="38">
        <f>IMABS(IMDIV(D24,IMSUB(COMPLEX(1,0),IMPRODUCT(COMPLEX(Ported!C$18,0),IMPRODUCT(C24,H24)))))</f>
        <v>13.456191976639296</v>
      </c>
      <c r="U24" s="21">
        <f>20*LOG10(Ported!C$29*50000*IMABS(N24))</f>
        <v>89.156900557099306</v>
      </c>
      <c r="V24" s="22">
        <f>20*LOG10(Ported!C$29*50000*IMABS(P24))</f>
        <v>91.094158344016307</v>
      </c>
      <c r="W24" s="22">
        <f>20*LOG10(Ported!C$29*50000*IMABS(R24))</f>
        <v>67.256447819238232</v>
      </c>
      <c r="X24" s="28">
        <f>1000*Ported!C$29*IMABS(H24)</f>
        <v>18.584595497704854</v>
      </c>
      <c r="Y24" s="28">
        <f>1000*Ported!C$29*IMABS(J24)</f>
        <v>134.79591029782549</v>
      </c>
      <c r="Z24" s="28">
        <f>Ported!C$29*IMABS(IMPRODUCT(C24,J24))</f>
        <v>11.433793721191112</v>
      </c>
      <c r="AA24" s="28">
        <f>1000*Ported!C$29*IMABS(L24)</f>
        <v>8.6654513762889778</v>
      </c>
      <c r="AB24" s="41" t="str">
        <f t="shared" si="7"/>
        <v>0.00164074641045712-0.00438935556585031i</v>
      </c>
      <c r="AC24" s="28">
        <f>20*LOG10(Ported!C$29*50000*IMABS(AB24))</f>
        <v>77.222658895030094</v>
      </c>
      <c r="AD24" s="28">
        <f t="shared" si="8"/>
        <v>7263.2826454848155</v>
      </c>
      <c r="AE24" s="23">
        <f t="shared" si="9"/>
        <v>-69.504196147614934</v>
      </c>
      <c r="AG24" s="64"/>
    </row>
    <row r="25" spans="2:34" x14ac:dyDescent="0.25">
      <c r="B25" s="24">
        <v>13.8</v>
      </c>
      <c r="C25" s="17" t="str">
        <f t="shared" si="0"/>
        <v>86.7079572390783i</v>
      </c>
      <c r="D25" s="18" t="str">
        <f>COMPLEX(Ported!C$19,2*PI()*B25*Ported!C$20)</f>
        <v>6</v>
      </c>
      <c r="E25" s="19" t="str">
        <f>IMSUB(COMPLEX(1,0),IMDIV(COMPLEX(Ported!C$41,0),IMSUM(COMPLEX(Ported!C$41,0),IMPRODUCT(C25,COMPLEX(Ported!C$42,0)))))</f>
        <v>0.912036874142359+0.283241265261603i</v>
      </c>
      <c r="F25" s="19" t="str">
        <f>IMDIV(IMPRODUCT(C25,COMPLEX((Ported!C$42*Ported!C$14/Ported!C$24),0)),IMSUM(COMPLEX(Ported!C$41,0),IMPRODUCT(C25,COMPLEX(Ported!C$42,0))))</f>
        <v>5.29264921782094+1.64367988131086i</v>
      </c>
      <c r="G25" s="30" t="str">
        <f>IMPRODUCT(F25,IMSUB(COMPLEX(1,0),IMDIV(IMPRODUCT(COMPLEX(Ported!C$41,0),E25),IMSUM(COMPLEX(0-(2*PI()*B25)^2*Ported!C$38,0),IMPRODUCT(C25,COMPLEX(0,0)),IMPRODUCT(COMPLEX(Ported!C$41,0),E25)))))</f>
        <v>-1.54676005753019+0.128924698569226i</v>
      </c>
      <c r="H25" s="32" t="str">
        <f>IMDIV(COMPLEX(Ported!C$18,0),IMPRODUCT(D25,IMSUM(COMPLEX(Ported!C$16-(2*PI()*B25)^2*Ported!C$15,0),IMPRODUCT(C25,IMSUM(COMPLEX(Ported!C$17,0),IMDIV(COMPLEX(Ported!C$18^2,0),D25))),IMPRODUCT(COMPLEX(Ported!C$14*Ported!C$41/Ported!C$24,0),G25))))</f>
        <v>0.000237284052963416-0.000543141252310759i</v>
      </c>
      <c r="I25" s="27">
        <f t="shared" si="1"/>
        <v>-66.400755208671328</v>
      </c>
      <c r="J25" s="20" t="str">
        <f>IMPRODUCT(IMDIV(IMPRODUCT(COMPLEX(-Ported!C$41,0),F25),IMSUM(IMPRODUCT(COMPLEX(Ported!C$41,0),E25),COMPLEX(Calculations!C$3-(2*PI()*B25)^2*Ported!C$38,0),IMPRODUCT(COMPLEX(Calculations!C$4,0),C25))),H25)</f>
        <v>-0.00140357832314748+0.00411484390205479i</v>
      </c>
      <c r="K25" s="27">
        <f t="shared" si="2"/>
        <v>108.83457206938429</v>
      </c>
      <c r="L25" s="40" t="str">
        <f>IMSUM(IMPRODUCT(COMPLEX(-(Ported!C$14/Ported!C$24),0),H25),IMDIV(IMPRODUCT(COMPLEX(-Ported!C$41,0),J25),IMSUM(COMPLEX(Ported!C$41,0),IMPRODUCT(COMPLEX(Ported!C$42,0),C25))),IMDIV(IMPRODUCT(COMPLEX(Ported!C$42*Ported!C$14/Ported!C$24,0),C25,H25),IMSUM(COMPLEX(Ported!C$41,0),IMPRODUCT(COMPLEX(Ported!C$42,0),C25))))</f>
        <v>-0.00027040402784931-0.0000922351469497032i</v>
      </c>
      <c r="M25" s="28">
        <f t="shared" si="3"/>
        <v>-161.16542793061319</v>
      </c>
      <c r="N25" s="39" t="str">
        <f>IMPRODUCT(COMPLEX((Ported!C$10*Ported!C$14)/(2*PI()),0),C25,C25,H25)</f>
        <v>-0.00765739584315921+0.0175277163203796i</v>
      </c>
      <c r="O25" s="28">
        <f t="shared" si="4"/>
        <v>113.59924479132872</v>
      </c>
      <c r="P25" s="26" t="str">
        <f>IMPRODUCT(COMPLEX((Ported!C$10*Ported!C$24)/(2*PI()),0),C25,C25,J25)</f>
        <v>0.00780527996259398-0.0228825909664149i</v>
      </c>
      <c r="Q25" s="23">
        <f t="shared" si="5"/>
        <v>-71.165427930615721</v>
      </c>
      <c r="R25" s="41" t="str">
        <f>IMPRODUCT(COMPLEX((Ported!C$10*Ported!C$24)/(2*PI()),0),C25,C25,L25)</f>
        <v>0.00150371312065009+0.000512918397541955i</v>
      </c>
      <c r="S25" s="33">
        <f t="shared" si="6"/>
        <v>18.834572069386869</v>
      </c>
      <c r="T25" s="38">
        <f>IMABS(IMDIV(D25,IMSUB(COMPLEX(1,0),IMPRODUCT(COMPLEX(Ported!C$18,0),IMPRODUCT(C25,H25)))))</f>
        <v>14.14919946408166</v>
      </c>
      <c r="U25" s="21">
        <f>20*LOG10(Ported!C$29*50000*IMABS(N25))</f>
        <v>89.439742316383075</v>
      </c>
      <c r="V25" s="22">
        <f>20*LOG10(Ported!C$29*50000*IMABS(P25))</f>
        <v>91.474741876286316</v>
      </c>
      <c r="W25" s="22">
        <f>20*LOG10(Ported!C$29*50000*IMABS(R25))</f>
        <v>67.827937709632607</v>
      </c>
      <c r="X25" s="28">
        <f>1000*Ported!C$29*IMABS(H25)</f>
        <v>18.374036089659217</v>
      </c>
      <c r="Y25" s="28">
        <f>1000*Ported!C$29*IMABS(J25)</f>
        <v>134.77683599949583</v>
      </c>
      <c r="Z25" s="28">
        <f>Ported!C$29*IMABS(IMPRODUCT(C25,J25))</f>
        <v>11.686224132662558</v>
      </c>
      <c r="AA25" s="28">
        <f>1000*Ported!C$29*IMABS(L25)</f>
        <v>8.8567635085382737</v>
      </c>
      <c r="AB25" s="41" t="str">
        <f t="shared" si="7"/>
        <v>0.00165159724008486-0.00484195624849335i</v>
      </c>
      <c r="AC25" s="28">
        <f>20*LOG10(Ported!C$29*50000*IMABS(AB25))</f>
        <v>77.985055143549189</v>
      </c>
      <c r="AD25" s="28">
        <f t="shared" si="8"/>
        <v>7929.6269646346373</v>
      </c>
      <c r="AE25" s="23">
        <f t="shared" si="9"/>
        <v>-71.165427930615849</v>
      </c>
      <c r="AG25" s="64"/>
    </row>
    <row r="26" spans="2:34" x14ac:dyDescent="0.25">
      <c r="B26" s="24">
        <v>14.1</v>
      </c>
      <c r="C26" s="17" t="str">
        <f t="shared" si="0"/>
        <v>88.5929128312322i</v>
      </c>
      <c r="D26" s="18" t="str">
        <f>COMPLEX(Ported!C$19,2*PI()*B26*Ported!C$20)</f>
        <v>6</v>
      </c>
      <c r="E26" s="19" t="str">
        <f>IMSUB(COMPLEX(1,0),IMDIV(COMPLEX(Ported!C$41,0),IMSUM(COMPLEX(Ported!C$41,0),IMPRODUCT(C26,COMPLEX(Ported!C$42,0)))))</f>
        <v>0.915426966957316+0.278245278710431i</v>
      </c>
      <c r="F26" s="19" t="str">
        <f>IMDIV(IMPRODUCT(C26,COMPLEX((Ported!C$42*Ported!C$14/Ported!C$24),0)),IMSUM(COMPLEX(Ported!C$41,0),IMPRODUCT(C26,COMPLEX(Ported!C$42,0))))</f>
        <v>5.31232229529634+1.61468762774965i</v>
      </c>
      <c r="G26" s="30" t="str">
        <f>IMPRODUCT(F26,IMSUB(COMPLEX(1,0),IMDIV(IMPRODUCT(COMPLEX(Ported!C$41,0),E26),IMSUM(COMPLEX(0-(2*PI()*B26)^2*Ported!C$38,0),IMPRODUCT(C26,COMPLEX(0,0)),IMPRODUCT(COMPLEX(Ported!C$41,0),E26)))))</f>
        <v>-1.63323861863432+0.140752544283346i</v>
      </c>
      <c r="H26" s="32" t="str">
        <f>IMDIV(COMPLEX(Ported!C$18,0),IMPRODUCT(D26,IMSUM(COMPLEX(Ported!C$16-(2*PI()*B26)^2*Ported!C$15,0),IMPRODUCT(C26,IMSUM(COMPLEX(Ported!C$17,0),IMDIV(COMPLEX(Ported!C$18^2,0),D26))),IMPRODUCT(COMPLEX(Ported!C$14*Ported!C$41/Ported!C$24,0),G26))))</f>
        <v>0.000220278290135923-0.000542764436346626i</v>
      </c>
      <c r="I26" s="27">
        <f t="shared" si="1"/>
        <v>-67.910466867651451</v>
      </c>
      <c r="J26" s="20" t="str">
        <f>IMPRODUCT(IMDIV(IMPRODUCT(COMPLEX(-Ported!C$41,0),F26),IMSUM(IMPRODUCT(COMPLEX(Ported!C$41,0),E26),COMPLEX(Calculations!C$3-(2*PI()*B26)^2*Ported!C$38,0),IMPRODUCT(COMPLEX(Calculations!C$4,0),C26))),H26)</f>
        <v>-0.00128280459454239+0.00415332081507292i</v>
      </c>
      <c r="K26" s="27">
        <f t="shared" si="2"/>
        <v>107.16395148161658</v>
      </c>
      <c r="L26" s="40" t="str">
        <f>IMSUM(IMPRODUCT(COMPLEX(-(Ported!C$14/Ported!C$24),0),H26),IMDIV(IMPRODUCT(COMPLEX(-Ported!C$41,0),J26),IMSUM(COMPLEX(Ported!C$41,0),IMPRODUCT(COMPLEX(Ported!C$42,0),C26))),IMDIV(IMPRODUCT(COMPLEX(Ported!C$42*Ported!C$14/Ported!C$24,0),C26,H26),IMSUM(COMPLEX(Ported!C$41,0),IMPRODUCT(COMPLEX(Ported!C$42,0),C26))))</f>
        <v>-0.0002788658261549-0.000086131165633579i</v>
      </c>
      <c r="M26" s="28">
        <f t="shared" si="3"/>
        <v>-162.83604851838018</v>
      </c>
      <c r="N26" s="39" t="str">
        <f>IMPRODUCT(COMPLEX((Ported!C$10*Ported!C$14)/(2*PI()),0),C26,C26,H26)</f>
        <v>-0.00742103185179336+0.0182853796788761i</v>
      </c>
      <c r="O26" s="28">
        <f t="shared" si="4"/>
        <v>112.08953313234855</v>
      </c>
      <c r="P26" s="26" t="str">
        <f>IMPRODUCT(COMPLEX((Ported!C$10*Ported!C$24)/(2*PI()),0),C26,C26,J26)</f>
        <v>0.00744718927768189-0.0241116740401275i</v>
      </c>
      <c r="Q26" s="23">
        <f t="shared" si="5"/>
        <v>-72.836048518383393</v>
      </c>
      <c r="R26" s="41" t="str">
        <f>IMPRODUCT(COMPLEX((Ported!C$10*Ported!C$24)/(2*PI()),0),C26,C26,L26)</f>
        <v>0.00161892668555144+0.00050002556578732i</v>
      </c>
      <c r="S26" s="33">
        <f t="shared" si="6"/>
        <v>17.163951481619847</v>
      </c>
      <c r="T26" s="38">
        <f>IMABS(IMDIV(D26,IMSUB(COMPLEX(1,0),IMPRODUCT(COMPLEX(Ported!C$18,0),IMPRODUCT(C26,H26)))))</f>
        <v>14.920180100759611</v>
      </c>
      <c r="U26" s="21">
        <f>20*LOG10(Ported!C$29*50000*IMABS(N26))</f>
        <v>89.710892587882086</v>
      </c>
      <c r="V26" s="22">
        <f>20*LOG10(Ported!C$29*50000*IMABS(P26))</f>
        <v>91.846892653588384</v>
      </c>
      <c r="W26" s="22">
        <f>20*LOG10(Ported!C$29*50000*IMABS(R26))</f>
        <v>68.386889012017861</v>
      </c>
      <c r="X26" s="28">
        <f>1000*Ported!C$29*IMABS(H26)</f>
        <v>18.158585955069004</v>
      </c>
      <c r="Y26" s="28">
        <f>1000*Ported!C$29*IMABS(J26)</f>
        <v>134.75433434695103</v>
      </c>
      <c r="Z26" s="28">
        <f>Ported!C$29*IMABS(IMPRODUCT(C26,J26))</f>
        <v>11.938278996430137</v>
      </c>
      <c r="AA26" s="28">
        <f>1000*Ported!C$29*IMABS(L26)</f>
        <v>9.047791020438428</v>
      </c>
      <c r="AB26" s="41" t="str">
        <f t="shared" si="7"/>
        <v>0.00164508411143997-0.00532626879546408i</v>
      </c>
      <c r="AC26" s="28">
        <f>20*LOG10(Ported!C$29*50000*IMABS(AB26))</f>
        <v>78.730806971016975</v>
      </c>
      <c r="AD26" s="28">
        <f t="shared" si="8"/>
        <v>8640.5293263277672</v>
      </c>
      <c r="AE26" s="23">
        <f t="shared" si="9"/>
        <v>-72.836048518382754</v>
      </c>
      <c r="AG26" s="64"/>
    </row>
    <row r="27" spans="2:34" x14ac:dyDescent="0.25">
      <c r="B27" s="24">
        <v>14.5</v>
      </c>
      <c r="C27" s="17" t="str">
        <f t="shared" si="0"/>
        <v>91.106186954104i</v>
      </c>
      <c r="D27" s="18" t="str">
        <f>COMPLEX(Ported!C$19,2*PI()*B27*Ported!C$20)</f>
        <v>6</v>
      </c>
      <c r="E27" s="19" t="str">
        <f>IMSUB(COMPLEX(1,0),IMDIV(COMPLEX(Ported!C$41,0),IMSUM(COMPLEX(Ported!C$41,0),IMPRODUCT(C27,COMPLEX(Ported!C$42,0)))))</f>
        <v>0.91965899707648+0.271820393224576i</v>
      </c>
      <c r="F27" s="19" t="str">
        <f>IMDIV(IMPRODUCT(C27,COMPLEX((Ported!C$42*Ported!C$14/Ported!C$24),0)),IMSUM(COMPLEX(Ported!C$41,0),IMPRODUCT(C27,COMPLEX(Ported!C$42,0))))</f>
        <v>5.3368812265578+1.57740331819443i</v>
      </c>
      <c r="G27" s="30" t="str">
        <f>IMPRODUCT(F27,IMSUB(COMPLEX(1,0),IMDIV(IMPRODUCT(COMPLEX(Ported!C$41,0),E27),IMSUM(COMPLEX(0-(2*PI()*B27)^2*Ported!C$38,0),IMPRODUCT(C27,COMPLEX(0,0)),IMPRODUCT(COMPLEX(Ported!C$41,0),E27)))))</f>
        <v>-1.75466431035722+0.158086050847698i</v>
      </c>
      <c r="H27" s="32" t="str">
        <f>IMDIV(COMPLEX(Ported!C$18,0),IMPRODUCT(D27,IMSUM(COMPLEX(Ported!C$16-(2*PI()*B27)^2*Ported!C$15,0),IMPRODUCT(C27,IMSUM(COMPLEX(Ported!C$17,0),IMDIV(COMPLEX(Ported!C$18^2,0),D27))),IMPRODUCT(COMPLEX(Ported!C$14*Ported!C$41/Ported!C$24,0),G27))))</f>
        <v>0.000197742931162627-0.000541255883240927i</v>
      </c>
      <c r="I27" s="27">
        <f t="shared" si="1"/>
        <v>-69.930682030665409</v>
      </c>
      <c r="J27" s="20" t="str">
        <f>IMPRODUCT(IMDIV(IMPRODUCT(COMPLEX(-Ported!C$41,0),F27),IMSUM(IMPRODUCT(COMPLEX(Ported!C$41,0),E27),COMPLEX(Calculations!C$3-(2*PI()*B27)^2*Ported!C$38,0),IMPRODUCT(COMPLEX(Calculations!C$4,0),C27))),H27)</f>
        <v>-0.00111898555515416+0.00419921285207064i</v>
      </c>
      <c r="K27" s="27">
        <f t="shared" si="2"/>
        <v>104.92116802725137</v>
      </c>
      <c r="L27" s="40" t="str">
        <f>IMSUM(IMPRODUCT(COMPLEX(-(Ported!C$14/Ported!C$24),0),H27),IMDIV(IMPRODUCT(COMPLEX(-Ported!C$41,0),J27),IMSUM(COMPLEX(Ported!C$41,0),IMPRODUCT(COMPLEX(Ported!C$42,0),C27))),IMDIV(IMPRODUCT(COMPLEX(Ported!C$42*Ported!C$14/Ported!C$24,0),C27,H27),IMSUM(COMPLEX(Ported!C$41,0),IMPRODUCT(COMPLEX(Ported!C$42,0),C27))))</f>
        <v>-0.00028994564930964-0.0000772632883320663i</v>
      </c>
      <c r="M27" s="28">
        <f t="shared" si="3"/>
        <v>-165.07883197274987</v>
      </c>
      <c r="N27" s="39" t="str">
        <f>IMPRODUCT(COMPLEX((Ported!C$10*Ported!C$14)/(2*PI()),0),C27,C27,H27)</f>
        <v>-0.00704516786582749+0.0192838172943992i</v>
      </c>
      <c r="O27" s="28">
        <f t="shared" si="4"/>
        <v>110.06931796933458</v>
      </c>
      <c r="P27" s="26" t="str">
        <f>IMPRODUCT(COMPLEX((Ported!C$10*Ported!C$24)/(2*PI()),0),C27,C27,J27)</f>
        <v>0.00686995899272434-0.0257808690760731i</v>
      </c>
      <c r="Q27" s="23">
        <f t="shared" si="5"/>
        <v>-75.078831972748645</v>
      </c>
      <c r="R27" s="41" t="str">
        <f>IMPRODUCT(COMPLEX((Ported!C$10*Ported!C$24)/(2*PI()),0),C27,C27,L27)</f>
        <v>0.00178010762668124+0.000474354311402354i</v>
      </c>
      <c r="S27" s="33">
        <f t="shared" si="6"/>
        <v>14.921168027250109</v>
      </c>
      <c r="T27" s="38">
        <f>IMABS(IMDIV(D27,IMSUB(COMPLEX(1,0),IMPRODUCT(COMPLEX(Ported!C$18,0),IMPRODUCT(C27,H27)))))</f>
        <v>16.088908182636082</v>
      </c>
      <c r="U27" s="21">
        <f>20*LOG10(Ported!C$29*50000*IMABS(N27))</f>
        <v>90.054609749937399</v>
      </c>
      <c r="V27" s="22">
        <f>20*LOG10(Ported!C$29*50000*IMABS(P27))</f>
        <v>92.330516092686196</v>
      </c>
      <c r="W27" s="22">
        <f>20*LOG10(Ported!C$29*50000*IMABS(R27))</f>
        <v>69.113490242707272</v>
      </c>
      <c r="X27" s="28">
        <f>1000*Ported!C$29*IMABS(H27)</f>
        <v>17.863646051323428</v>
      </c>
      <c r="Y27" s="28">
        <f>1000*Ported!C$29*IMABS(J27)</f>
        <v>134.71815793315682</v>
      </c>
      <c r="Z27" s="28">
        <f>Ported!C$29*IMABS(IMPRODUCT(C27,J27))</f>
        <v>12.273657682770695</v>
      </c>
      <c r="AA27" s="28">
        <f>1000*Ported!C$29*IMABS(L27)</f>
        <v>9.3019680477655537</v>
      </c>
      <c r="AB27" s="41" t="str">
        <f t="shared" si="7"/>
        <v>0.00160489875357809-0.00602269747027155i</v>
      </c>
      <c r="AC27" s="28">
        <f>20*LOG10(Ported!C$29*50000*IMABS(AB27))</f>
        <v>79.700385993298724</v>
      </c>
      <c r="AD27" s="28">
        <f t="shared" si="8"/>
        <v>9660.9381039541677</v>
      </c>
      <c r="AE27" s="23">
        <f t="shared" si="9"/>
        <v>-75.07883197274883</v>
      </c>
      <c r="AG27" s="64"/>
    </row>
    <row r="28" spans="2:34" x14ac:dyDescent="0.25">
      <c r="B28" s="24">
        <v>14.8</v>
      </c>
      <c r="C28" s="17" t="str">
        <f t="shared" si="0"/>
        <v>92.9911425462579i</v>
      </c>
      <c r="D28" s="18" t="str">
        <f>COMPLEX(Ported!C$19,2*PI()*B28*Ported!C$20)</f>
        <v>6</v>
      </c>
      <c r="E28" s="19" t="str">
        <f>IMSUB(COMPLEX(1,0),IMDIV(COMPLEX(Ported!C$41,0),IMSUM(COMPLEX(Ported!C$41,0),IMPRODUCT(C28,COMPLEX(Ported!C$42,0)))))</f>
        <v>0.922633620333947+0.267171897780101i</v>
      </c>
      <c r="F28" s="19" t="str">
        <f>IMDIV(IMPRODUCT(C28,COMPLEX((Ported!C$42*Ported!C$14/Ported!C$24),0)),IMSUM(COMPLEX(Ported!C$41,0),IMPRODUCT(C28,COMPLEX(Ported!C$42,0))))</f>
        <v>5.35414328898456+1.5504275933353i</v>
      </c>
      <c r="G28" s="30" t="str">
        <f>IMPRODUCT(F28,IMSUB(COMPLEX(1,0),IMDIV(IMPRODUCT(COMPLEX(Ported!C$41,0),E28),IMSUM(COMPLEX(0-(2*PI()*B28)^2*Ported!C$38,0),IMPRODUCT(C28,COMPLEX(0,0)),IMPRODUCT(COMPLEX(Ported!C$41,0),E28)))))</f>
        <v>-1.85059248315074+0.172374937592077i</v>
      </c>
      <c r="H28" s="32" t="str">
        <f>IMDIV(COMPLEX(Ported!C$18,0),IMPRODUCT(D28,IMSUM(COMPLEX(Ported!C$16-(2*PI()*B28)^2*Ported!C$15,0),IMPRODUCT(C28,IMSUM(COMPLEX(Ported!C$17,0),IMDIV(COMPLEX(Ported!C$18^2,0),D28))),IMPRODUCT(COMPLEX(Ported!C$14*Ported!C$41/Ported!C$24,0),G28))))</f>
        <v>0.000180979636012608-0.000539370484440802i</v>
      </c>
      <c r="I28" s="27">
        <f t="shared" si="1"/>
        <v>-71.451407490707723</v>
      </c>
      <c r="J28" s="20" t="str">
        <f>IMPRODUCT(IMDIV(IMPRODUCT(COMPLEX(-Ported!C$41,0),F28),IMSUM(IMPRODUCT(COMPLEX(Ported!C$41,0),E28),COMPLEX(Calculations!C$3-(2*PI()*B28)^2*Ported!C$38,0),IMPRODUCT(COMPLEX(Calculations!C$4,0),C28))),H28)</f>
        <v>-0.000994115414410214+0.00422943839409406i</v>
      </c>
      <c r="K28" s="27">
        <f t="shared" si="2"/>
        <v>103.22708526710753</v>
      </c>
      <c r="L28" s="40" t="str">
        <f>IMSUM(IMPRODUCT(COMPLEX(-(Ported!C$14/Ported!C$24),0),H28),IMDIV(IMPRODUCT(COMPLEX(-Ported!C$41,0),J28),IMSUM(COMPLEX(Ported!C$41,0),IMPRODUCT(COMPLEX(Ported!C$42,0),C28))),IMDIV(IMPRODUCT(COMPLEX(Ported!C$42*Ported!C$14/Ported!C$24,0),C28,H28),IMSUM(COMPLEX(Ported!C$41,0),IMPRODUCT(COMPLEX(Ported!C$42,0),C28))))</f>
        <v>-0.00029807470586949-0.0000700614673012898i</v>
      </c>
      <c r="M28" s="28">
        <f t="shared" si="3"/>
        <v>-166.7729147328929</v>
      </c>
      <c r="N28" s="39" t="str">
        <f>IMPRODUCT(COMPLEX((Ported!C$10*Ported!C$14)/(2*PI()),0),C28,C28,H28)</f>
        <v>-0.00671749752086672+0.0200200418781224i</v>
      </c>
      <c r="O28" s="28">
        <f t="shared" si="4"/>
        <v>108.54859250929231</v>
      </c>
      <c r="P28" s="26" t="str">
        <f>IMPRODUCT(COMPLEX((Ported!C$10*Ported!C$24)/(2*PI()),0),C28,C28,J28)</f>
        <v>0.00635848862378125-0.027052025875472i</v>
      </c>
      <c r="Q28" s="23">
        <f t="shared" si="5"/>
        <v>-76.77291473289246</v>
      </c>
      <c r="R28" s="41" t="str">
        <f>IMPRODUCT(COMPLEX((Ported!C$10*Ported!C$24)/(2*PI()),0),C28,C28,L28)</f>
        <v>0.00190652372836663+0.000448122055390288i</v>
      </c>
      <c r="S28" s="33">
        <f t="shared" si="6"/>
        <v>13.227085267107055</v>
      </c>
      <c r="T28" s="38">
        <f>IMABS(IMDIV(D28,IMSUB(COMPLEX(1,0),IMPRODUCT(COMPLEX(Ported!C$18,0),IMPRODUCT(C28,H28)))))</f>
        <v>17.087601521560217</v>
      </c>
      <c r="U28" s="21">
        <f>20*LOG10(Ported!C$29*50000*IMABS(N28))</f>
        <v>90.299270188244648</v>
      </c>
      <c r="V28" s="22">
        <f>20*LOG10(Ported!C$29*50000*IMABS(P28))</f>
        <v>92.684170850991194</v>
      </c>
      <c r="W28" s="22">
        <f>20*LOG10(Ported!C$29*50000*IMABS(R28))</f>
        <v>69.645019264212095</v>
      </c>
      <c r="X28" s="28">
        <f>1000*Ported!C$29*IMABS(H28)</f>
        <v>17.636633929404223</v>
      </c>
      <c r="Y28" s="28">
        <f>1000*Ported!C$29*IMABS(J28)</f>
        <v>134.68568750140952</v>
      </c>
      <c r="Z28" s="28">
        <f>Ported!C$29*IMABS(IMPRODUCT(C28,J28))</f>
        <v>12.524575965384322</v>
      </c>
      <c r="AA28" s="28">
        <f>1000*Ported!C$29*IMABS(L28)</f>
        <v>9.4921341667661103</v>
      </c>
      <c r="AB28" s="41" t="str">
        <f t="shared" si="7"/>
        <v>0.00154751483128116-0.00658386194195931i</v>
      </c>
      <c r="AC28" s="28">
        <f>20*LOG10(Ported!C$29*50000*IMABS(AB28))</f>
        <v>80.409789278002989</v>
      </c>
      <c r="AD28" s="28">
        <f t="shared" si="8"/>
        <v>10483.093610080796</v>
      </c>
      <c r="AE28" s="23">
        <f t="shared" si="9"/>
        <v>-76.77291473289246</v>
      </c>
      <c r="AG28" s="64"/>
    </row>
    <row r="29" spans="2:34" x14ac:dyDescent="0.25">
      <c r="B29" s="24">
        <v>15.1</v>
      </c>
      <c r="C29" s="17" t="str">
        <f t="shared" si="0"/>
        <v>94.8760981384117i</v>
      </c>
      <c r="D29" s="18" t="str">
        <f>COMPLEX(Ported!C$19,2*PI()*B29*Ported!C$20)</f>
        <v>6</v>
      </c>
      <c r="E29" s="19" t="str">
        <f>IMSUB(COMPLEX(1,0),IMDIV(COMPLEX(Ported!C$41,0),IMSUM(COMPLEX(Ported!C$41,0),IMPRODUCT(C29,COMPLEX(Ported!C$42,0)))))</f>
        <v>0.92545034205868+0.26266329481325i</v>
      </c>
      <c r="F29" s="19" t="str">
        <f>IMDIV(IMPRODUCT(C29,COMPLEX((Ported!C$42*Ported!C$14/Ported!C$24),0)),IMSUM(COMPLEX(Ported!C$41,0),IMPRODUCT(C29,COMPLEX(Ported!C$42,0))))</f>
        <v>5.37048903163588+1.52426367974529i</v>
      </c>
      <c r="G29" s="30" t="str">
        <f>IMPRODUCT(F29,IMSUB(COMPLEX(1,0),IMDIV(IMPRODUCT(COMPLEX(Ported!C$41,0),E29),IMSUM(COMPLEX(0-(2*PI()*B29)^2*Ported!C$38,0),IMPRODUCT(C29,COMPLEX(0,0)),IMPRODUCT(COMPLEX(Ported!C$41,0),E29)))))</f>
        <v>-1.95093429214725+0.1878797589128i</v>
      </c>
      <c r="H29" s="32" t="str">
        <f>IMDIV(COMPLEX(Ported!C$18,0),IMPRODUCT(D29,IMSUM(COMPLEX(Ported!C$16-(2*PI()*B29)^2*Ported!C$15,0),IMPRODUCT(C29,IMSUM(COMPLEX(Ported!C$17,0),IMDIV(COMPLEX(Ported!C$18^2,0),D29))),IMPRODUCT(COMPLEX(Ported!C$14*Ported!C$41/Ported!C$24,0),G29))))</f>
        <v>0.000164364436931148-0.000536840413963253i</v>
      </c>
      <c r="I29" s="27">
        <f t="shared" si="1"/>
        <v>-72.976982665236932</v>
      </c>
      <c r="J29" s="20" t="str">
        <f>IMPRODUCT(IMDIV(IMPRODUCT(COMPLEX(-Ported!C$41,0),F29),IMSUM(IMPRODUCT(COMPLEX(Ported!C$41,0),E29),COMPLEX(Calculations!C$3-(2*PI()*B29)^2*Ported!C$38,0),IMPRODUCT(COMPLEX(Calculations!C$4,0),C29))),H29)</f>
        <v>-0.000867604455863978+0.00425594935053861i</v>
      </c>
      <c r="K29" s="27">
        <f t="shared" si="2"/>
        <v>101.52225632537498</v>
      </c>
      <c r="L29" s="40" t="str">
        <f>IMSUM(IMPRODUCT(COMPLEX(-(Ported!C$14/Ported!C$24),0),H29),IMDIV(IMPRODUCT(COMPLEX(-Ported!C$41,0),J29),IMSUM(COMPLEX(Ported!C$41,0),IMPRODUCT(COMPLEX(Ported!C$42,0),C29))),IMDIV(IMPRODUCT(COMPLEX(Ported!C$42*Ported!C$14/Ported!C$24,0),C29,H29),IMSUM(COMPLEX(Ported!C$41,0),IMPRODUCT(COMPLEX(Ported!C$42,0),C29))))</f>
        <v>-0.000306023024729206-0.000062384891826426i</v>
      </c>
      <c r="M29" s="28">
        <f t="shared" si="3"/>
        <v>-168.47774367462216</v>
      </c>
      <c r="N29" s="39" t="str">
        <f>IMPRODUCT(COMPLEX((Ported!C$10*Ported!C$14)/(2*PI()),0),C29,C29,H29)</f>
        <v>-0.00635061996667285+0.020742135680239i</v>
      </c>
      <c r="O29" s="28">
        <f t="shared" si="4"/>
        <v>107.02301733476305</v>
      </c>
      <c r="P29" s="26" t="str">
        <f>IMPRODUCT(COMPLEX((Ported!C$10*Ported!C$24)/(2*PI()),0),C29,C29,J29)</f>
        <v>0.00577656052821353-0.0283363563456061i</v>
      </c>
      <c r="Q29" s="23">
        <f t="shared" si="5"/>
        <v>-78.477743674625032</v>
      </c>
      <c r="R29" s="41" t="str">
        <f>IMPRODUCT(COMPLEX((Ported!C$10*Ported!C$24)/(2*PI()),0),C29,C29,L29)</f>
        <v>0.0020375189562793+0.000415362209409747i</v>
      </c>
      <c r="S29" s="33">
        <f t="shared" si="6"/>
        <v>11.522256325377848</v>
      </c>
      <c r="T29" s="38">
        <f>IMABS(IMDIV(D29,IMSUB(COMPLEX(1,0),IMPRODUCT(COMPLEX(Ported!C$18,0),IMPRODUCT(C29,H29)))))</f>
        <v>18.206568140758574</v>
      </c>
      <c r="U29" s="21">
        <f>20*LOG10(Ported!C$29*50000*IMABS(N29))</f>
        <v>90.53284463924264</v>
      </c>
      <c r="V29" s="22">
        <f>20*LOG10(Ported!C$29*50000*IMABS(P29))</f>
        <v>93.030347067807369</v>
      </c>
      <c r="W29" s="22">
        <f>20*LOG10(Ported!C$29*50000*IMABS(R29))</f>
        <v>70.165500118992483</v>
      </c>
      <c r="X29" s="28">
        <f>1000*Ported!C$29*IMABS(H29)</f>
        <v>17.404596506740539</v>
      </c>
      <c r="Y29" s="28">
        <f>1000*Ported!C$29*IMABS(J29)</f>
        <v>134.64796513094367</v>
      </c>
      <c r="Z29" s="28">
        <f>Ported!C$29*IMABS(IMPRODUCT(C29,J29))</f>
        <v>12.774873553900861</v>
      </c>
      <c r="AA29" s="28">
        <f>1000*Ported!C$29*IMABS(L29)</f>
        <v>9.6818298737013233</v>
      </c>
      <c r="AB29" s="41" t="str">
        <f t="shared" si="7"/>
        <v>0.00146345951781998-0.00717885845595735i</v>
      </c>
      <c r="AC29" s="28">
        <f>20*LOG10(Ported!C$29*50000*IMABS(AB29))</f>
        <v>81.104574770747618</v>
      </c>
      <c r="AD29" s="28">
        <f t="shared" si="8"/>
        <v>11356.087719128956</v>
      </c>
      <c r="AE29" s="23">
        <f t="shared" si="9"/>
        <v>-78.477743674624847</v>
      </c>
      <c r="AG29" s="64"/>
    </row>
    <row r="30" spans="2:34" x14ac:dyDescent="0.25">
      <c r="B30" s="24">
        <v>15.5</v>
      </c>
      <c r="C30" s="17" t="str">
        <f t="shared" si="0"/>
        <v>97.3893722612836i</v>
      </c>
      <c r="D30" s="18" t="str">
        <f>COMPLEX(Ported!C$19,2*PI()*B30*Ported!C$20)</f>
        <v>6</v>
      </c>
      <c r="E30" s="19" t="str">
        <f>IMSUB(COMPLEX(1,0),IMDIV(COMPLEX(Ported!C$41,0),IMSUM(COMPLEX(Ported!C$41,0),IMPRODUCT(C30,COMPLEX(Ported!C$42,0)))))</f>
        <v>0.928978673874016+0.256860462822309i</v>
      </c>
      <c r="F30" s="19" t="str">
        <f>IMDIV(IMPRODUCT(C30,COMPLEX((Ported!C$42*Ported!C$14/Ported!C$24),0)),IMSUM(COMPLEX(Ported!C$41,0),IMPRODUCT(C30,COMPLEX(Ported!C$42,0))))</f>
        <v>5.39096432507201+1.49058921430563i</v>
      </c>
      <c r="G30" s="30" t="str">
        <f>IMPRODUCT(F30,IMSUB(COMPLEX(1,0),IMDIV(IMPRODUCT(COMPLEX(Ported!C$41,0),E30),IMSUM(COMPLEX(0-(2*PI()*B30)^2*Ported!C$38,0),IMPRODUCT(C30,COMPLEX(0,0)),IMPRODUCT(COMPLEX(Ported!C$41,0),E30)))))</f>
        <v>-2.09201124569817+0.210639361067427i</v>
      </c>
      <c r="H30" s="32" t="str">
        <f>IMDIV(COMPLEX(Ported!C$18,0),IMPRODUCT(D30,IMSUM(COMPLEX(Ported!C$16-(2*PI()*B30)^2*Ported!C$15,0),IMPRODUCT(C30,IMSUM(COMPLEX(Ported!C$17,0),IMDIV(COMPLEX(Ported!C$18^2,0),D30))),IMPRODUCT(COMPLEX(Ported!C$14*Ported!C$41/Ported!C$24,0),G30))))</f>
        <v>0.000142488120238758-0.000532468554689622i</v>
      </c>
      <c r="I30" s="27">
        <f t="shared" si="1"/>
        <v>-75.018715341722171</v>
      </c>
      <c r="J30" s="20" t="str">
        <f>IMPRODUCT(IMDIV(IMPRODUCT(COMPLEX(-Ported!C$41,0),F30),IMSUM(IMPRODUCT(COMPLEX(Ported!C$41,0),E30),COMPLEX(Calculations!C$3-(2*PI()*B30)^2*Ported!C$38,0),IMPRODUCT(COMPLEX(Calculations!C$4,0),C30))),H30)</f>
        <v>-0.000696504151478049+0.00428532541060696i</v>
      </c>
      <c r="K30" s="27">
        <f t="shared" si="2"/>
        <v>99.231693917077578</v>
      </c>
      <c r="L30" s="40" t="str">
        <f>IMSUM(IMPRODUCT(COMPLEX(-(Ported!C$14/Ported!C$24),0),H30),IMDIV(IMPRODUCT(COMPLEX(-Ported!C$41,0),J30),IMSUM(COMPLEX(Ported!C$41,0),IMPRODUCT(COMPLEX(Ported!C$42,0),C30))),IMDIV(IMPRODUCT(COMPLEX(Ported!C$42*Ported!C$14/Ported!C$24,0),C30,H30),IMSUM(COMPLEX(Ported!C$41,0),IMPRODUCT(COMPLEX(Ported!C$42,0),C30))))</f>
        <v>-0.000316297827925743-0.000051408639751966i</v>
      </c>
      <c r="M30" s="28">
        <f t="shared" si="3"/>
        <v>-170.76830608291957</v>
      </c>
      <c r="N30" s="39" t="str">
        <f>IMPRODUCT(COMPLEX((Ported!C$10*Ported!C$14)/(2*PI()),0),C30,C30,H30)</f>
        <v>-0.00580091400108579+0.0216776268004746i</v>
      </c>
      <c r="O30" s="28">
        <f t="shared" si="4"/>
        <v>104.9812846582778</v>
      </c>
      <c r="P30" s="26" t="str">
        <f>IMPRODUCT(COMPLEX((Ported!C$10*Ported!C$24)/(2*PI()),0),C30,C30,J30)</f>
        <v>0.00488630718031322-0.0300635915513096i</v>
      </c>
      <c r="Q30" s="23">
        <f t="shared" si="5"/>
        <v>-80.76830608292245</v>
      </c>
      <c r="R30" s="41" t="str">
        <f>IMPRODUCT(COMPLEX((Ported!C$10*Ported!C$24)/(2*PI()),0),C30,C30,L30)</f>
        <v>0.00221897937640612+0.00036065600616608i</v>
      </c>
      <c r="S30" s="33">
        <f t="shared" si="6"/>
        <v>9.2316939170804417</v>
      </c>
      <c r="T30" s="38">
        <f>IMABS(IMDIV(D30,IMSUB(COMPLEX(1,0),IMPRODUCT(COMPLEX(Ported!C$18,0),IMPRODUCT(C30,H30)))))</f>
        <v>19.910244235807376</v>
      </c>
      <c r="U30" s="21">
        <f>20*LOG10(Ported!C$29*50000*IMABS(N30))</f>
        <v>90.827233378467554</v>
      </c>
      <c r="V30" s="22">
        <f>20*LOG10(Ported!C$29*50000*IMABS(P30))</f>
        <v>93.480688626008671</v>
      </c>
      <c r="W30" s="22">
        <f>20*LOG10(Ported!C$29*50000*IMABS(R30))</f>
        <v>70.842936694735926</v>
      </c>
      <c r="X30" s="28">
        <f>1000*Ported!C$29*IMABS(H30)</f>
        <v>17.087317715863861</v>
      </c>
      <c r="Y30" s="28">
        <f>1000*Ported!C$29*IMABS(J30)</f>
        <v>134.5883195653133</v>
      </c>
      <c r="Z30" s="28">
        <f>Ported!C$29*IMABS(IMPRODUCT(C30,J30))</f>
        <v>13.107471956166886</v>
      </c>
      <c r="AA30" s="28">
        <f>1000*Ported!C$29*IMABS(L30)</f>
        <v>9.9338997774395921</v>
      </c>
      <c r="AB30" s="41" t="str">
        <f t="shared" si="7"/>
        <v>0.00130437255563355-0.00802530874466892i</v>
      </c>
      <c r="AC30" s="28">
        <f>20*LOG10(Ported!C$29*50000*IMABS(AB30))</f>
        <v>82.009106364033698</v>
      </c>
      <c r="AD30" s="28">
        <f t="shared" si="8"/>
        <v>12602.459725279292</v>
      </c>
      <c r="AE30" s="23">
        <f t="shared" si="9"/>
        <v>-80.768306082922749</v>
      </c>
      <c r="AG30" s="64"/>
    </row>
    <row r="31" spans="2:34" x14ac:dyDescent="0.25">
      <c r="B31" s="24">
        <v>15.8</v>
      </c>
      <c r="C31" s="17" t="str">
        <f t="shared" si="0"/>
        <v>99.2743278534375i</v>
      </c>
      <c r="D31" s="18" t="str">
        <f>COMPLEX(Ported!C$19,2*PI()*B31*Ported!C$20)</f>
        <v>6</v>
      </c>
      <c r="E31" s="19" t="str">
        <f>IMSUB(COMPLEX(1,0),IMDIV(COMPLEX(Ported!C$41,0),IMSUM(COMPLEX(Ported!C$41,0),IMPRODUCT(C31,COMPLEX(Ported!C$42,0)))))</f>
        <v>0.931467002123+0.252658318839874i</v>
      </c>
      <c r="F31" s="19" t="str">
        <f>IMDIV(IMPRODUCT(C31,COMPLEX((Ported!C$42*Ported!C$14/Ported!C$24),0)),IMSUM(COMPLEX(Ported!C$41,0),IMPRODUCT(C31,COMPLEX(Ported!C$42,0))))</f>
        <v>5.40540436465161+1.46620371554746i</v>
      </c>
      <c r="G31" s="30" t="str">
        <f>IMPRODUCT(F31,IMSUB(COMPLEX(1,0),IMDIV(IMPRODUCT(COMPLEX(Ported!C$41,0),E31),IMSUM(COMPLEX(0-(2*PI()*B31)^2*Ported!C$38,0),IMPRODUCT(C31,COMPLEX(0,0)),IMPRODUCT(COMPLEX(Ported!C$41,0),E31)))))</f>
        <v>-2.20362855906392+0.229437748103538i</v>
      </c>
      <c r="H31" s="32" t="str">
        <f>IMDIV(COMPLEX(Ported!C$18,0),IMPRODUCT(D31,IMSUM(COMPLEX(Ported!C$16-(2*PI()*B31)^2*Ported!C$15,0),IMPRODUCT(C31,IMSUM(COMPLEX(Ported!C$17,0),IMDIV(COMPLEX(Ported!C$18^2,0),D31))),IMPRODUCT(COMPLEX(Ported!C$14*Ported!C$41/Ported!C$24,0),G31))))</f>
        <v>0.000126324617075215-0.000528445536644302i</v>
      </c>
      <c r="I31" s="27">
        <f t="shared" si="1"/>
        <v>-76.555773907157302</v>
      </c>
      <c r="J31" s="20" t="str">
        <f>IMPRODUCT(IMDIV(IMPRODUCT(COMPLEX(-Ported!C$41,0),F31),IMSUM(IMPRODUCT(COMPLEX(Ported!C$41,0),E31),COMPLEX(Calculations!C$3-(2*PI()*B31)^2*Ported!C$38,0),IMPRODUCT(COMPLEX(Calculations!C$4,0),C31))),H31)</f>
        <v>-0.000566473569856821+0.00430272865293195i</v>
      </c>
      <c r="K31" s="27">
        <f t="shared" si="2"/>
        <v>97.500112518804457</v>
      </c>
      <c r="L31" s="40" t="str">
        <f>IMSUM(IMPRODUCT(COMPLEX(-(Ported!C$14/Ported!C$24),0),H31),IMDIV(IMPRODUCT(COMPLEX(-Ported!C$41,0),J31),IMSUM(COMPLEX(Ported!C$41,0),IMPRODUCT(COMPLEX(Ported!C$42,0),C31))),IMDIV(IMPRODUCT(COMPLEX(Ported!C$42*Ported!C$14/Ported!C$24,0),C31,H31),IMSUM(COMPLEX(Ported!C$41,0),IMPRODUCT(COMPLEX(Ported!C$42,0),C31))))</f>
        <v>-0.00032372910817297-0.0000426203923987608i</v>
      </c>
      <c r="M31" s="28">
        <f t="shared" si="3"/>
        <v>-172.49988748119378</v>
      </c>
      <c r="N31" s="39" t="str">
        <f>IMPRODUCT(COMPLEX((Ported!C$10*Ported!C$14)/(2*PI()),0),C31,C31,H31)</f>
        <v>-0.00534387804025346+0.0223546966864109i</v>
      </c>
      <c r="O31" s="28">
        <f t="shared" si="4"/>
        <v>103.44422609284274</v>
      </c>
      <c r="P31" s="26" t="str">
        <f>IMPRODUCT(COMPLEX((Ported!C$10*Ported!C$24)/(2*PI()),0),C31,C31,J31)</f>
        <v>0.00412940505907174-0.031365469481164i</v>
      </c>
      <c r="Q31" s="23">
        <f t="shared" si="5"/>
        <v>-82.499887481195557</v>
      </c>
      <c r="R31" s="41" t="str">
        <f>IMPRODUCT(COMPLEX((Ported!C$10*Ported!C$24)/(2*PI()),0),C31,C31,L31)</f>
        <v>0.00235987818001135+0.000310688571111181i</v>
      </c>
      <c r="S31" s="33">
        <f t="shared" si="6"/>
        <v>7.5001125188062199</v>
      </c>
      <c r="T31" s="38">
        <f>IMABS(IMDIV(D31,IMSUB(COMPLEX(1,0),IMPRODUCT(COMPLEX(Ported!C$18,0),IMPRODUCT(C31,H31)))))</f>
        <v>21.362499290608817</v>
      </c>
      <c r="U31" s="21">
        <f>20*LOG10(Ported!C$29*50000*IMABS(N31))</f>
        <v>91.035353723901551</v>
      </c>
      <c r="V31" s="22">
        <f>20*LOG10(Ported!C$29*50000*IMABS(P31))</f>
        <v>93.810300735123221</v>
      </c>
      <c r="W31" s="22">
        <f>20*LOG10(Ported!C$29*50000*IMABS(R31))</f>
        <v>71.339056579533192</v>
      </c>
      <c r="X31" s="28">
        <f>1000*Ported!C$29*IMABS(H31)</f>
        <v>16.843375638791152</v>
      </c>
      <c r="Y31" s="28">
        <f>1000*Ported!C$29*IMABS(J31)</f>
        <v>134.53559337821989</v>
      </c>
      <c r="Z31" s="28">
        <f>Ported!C$29*IMABS(IMPRODUCT(C31,J31))</f>
        <v>13.355930604986158</v>
      </c>
      <c r="AA31" s="28">
        <f>1000*Ported!C$29*IMABS(L31)</f>
        <v>10.122201787504036</v>
      </c>
      <c r="AB31" s="41" t="str">
        <f t="shared" si="7"/>
        <v>0.00114540519882963-0.00870008422364192i</v>
      </c>
      <c r="AC31" s="28">
        <f>20*LOG10(Ported!C$29*50000*IMABS(AB31))</f>
        <v>82.671734024513569</v>
      </c>
      <c r="AD31" s="28">
        <f t="shared" si="8"/>
        <v>13601.496723138433</v>
      </c>
      <c r="AE31" s="23">
        <f t="shared" si="9"/>
        <v>-82.499887481195515</v>
      </c>
      <c r="AG31" s="64"/>
    </row>
    <row r="32" spans="2:34" x14ac:dyDescent="0.25">
      <c r="B32" s="24">
        <v>16.2</v>
      </c>
      <c r="C32" s="17" t="str">
        <f t="shared" si="0"/>
        <v>101.787601976309i</v>
      </c>
      <c r="D32" s="18" t="str">
        <f>COMPLEX(Ported!C$19,2*PI()*B32*Ported!C$20)</f>
        <v>6</v>
      </c>
      <c r="E32" s="19" t="str">
        <f>IMSUB(COMPLEX(1,0),IMDIV(COMPLEX(Ported!C$41,0),IMSUM(COMPLEX(Ported!C$41,0),IMPRODUCT(C32,COMPLEX(Ported!C$42,0)))))</f>
        <v>0.934590931686768+0.247246278224014i</v>
      </c>
      <c r="F32" s="19" t="str">
        <f>IMDIV(IMPRODUCT(C32,COMPLEX((Ported!C$42*Ported!C$14/Ported!C$24),0)),IMSUM(COMPLEX(Ported!C$41,0),IMPRODUCT(C32,COMPLEX(Ported!C$42,0))))</f>
        <v>5.42353286781958+1.43479705497873i</v>
      </c>
      <c r="G32" s="30" t="str">
        <f>IMPRODUCT(F32,IMSUB(COMPLEX(1,0),IMDIV(IMPRODUCT(COMPLEX(Ported!C$41,0),E32),IMSUM(COMPLEX(0-(2*PI()*B32)^2*Ported!C$38,0),IMPRODUCT(C32,COMPLEX(0,0)),IMPRODUCT(COMPLEX(Ported!C$41,0),E32)))))</f>
        <v>-2.36074915483145+0.257079241673192i</v>
      </c>
      <c r="H32" s="32" t="str">
        <f>IMDIV(COMPLEX(Ported!C$18,0),IMPRODUCT(D32,IMSUM(COMPLEX(Ported!C$16-(2*PI()*B32)^2*Ported!C$15,0),IMPRODUCT(C32,IMSUM(COMPLEX(Ported!C$17,0),IMDIV(COMPLEX(Ported!C$18^2,0),D32))),IMPRODUCT(COMPLEX(Ported!C$14*Ported!C$41/Ported!C$24,0),G32))))</f>
        <v>0.00010515166092021-0.000522098616805892i</v>
      </c>
      <c r="I32" s="27">
        <f t="shared" si="1"/>
        <v>-78.61285398821812</v>
      </c>
      <c r="J32" s="20" t="str">
        <f>IMPRODUCT(IMDIV(IMPRODUCT(COMPLEX(-Ported!C$41,0),F32),IMSUM(IMPRODUCT(COMPLEX(Ported!C$41,0),E32),COMPLEX(Calculations!C$3-(2*PI()*B32)^2*Ported!C$38,0),IMPRODUCT(COMPLEX(Calculations!C$4,0),C32))),H32)</f>
        <v>-0.000391001296843044+0.00431953421678065i</v>
      </c>
      <c r="K32" s="27">
        <f t="shared" si="2"/>
        <v>95.17227891160401</v>
      </c>
      <c r="L32" s="40" t="str">
        <f>IMSUM(IMPRODUCT(COMPLEX(-(Ported!C$14/Ported!C$24),0),H32),IMDIV(IMPRODUCT(COMPLEX(-Ported!C$41,0),J32),IMSUM(COMPLEX(Ported!C$41,0),IMPRODUCT(COMPLEX(Ported!C$42,0),C32))),IMDIV(IMPRODUCT(COMPLEX(Ported!C$42*Ported!C$14/Ported!C$24,0),C32,H32),IMSUM(COMPLEX(Ported!C$41,0),IMPRODUCT(COMPLEX(Ported!C$42,0),C32))))</f>
        <v>-0.00033322121100879-0.000030162957185042i</v>
      </c>
      <c r="M32" s="28">
        <f t="shared" si="3"/>
        <v>-174.8277210883947</v>
      </c>
      <c r="N32" s="39" t="str">
        <f>IMPRODUCT(COMPLEX((Ported!C$10*Ported!C$14)/(2*PI()),0),C32,C32,H32)</f>
        <v>-0.00467628034772411+0.0232186489493109i</v>
      </c>
      <c r="O32" s="28">
        <f t="shared" si="4"/>
        <v>101.38714601178188</v>
      </c>
      <c r="P32" s="26" t="str">
        <f>IMPRODUCT(COMPLEX((Ported!C$10*Ported!C$24)/(2*PI()),0),C32,C32,J32)</f>
        <v>0.00299641447836265-0.0331024857754885i</v>
      </c>
      <c r="Q32" s="23">
        <f t="shared" si="5"/>
        <v>-84.82772108839599</v>
      </c>
      <c r="R32" s="41" t="str">
        <f>IMPRODUCT(COMPLEX((Ported!C$10*Ported!C$24)/(2*PI()),0),C32,C32,L32)</f>
        <v>0.00255362033125195+0.000231151974045174i</v>
      </c>
      <c r="S32" s="33">
        <f t="shared" si="6"/>
        <v>5.1722789116052859</v>
      </c>
      <c r="T32" s="38">
        <f>IMABS(IMDIV(D32,IMSUB(COMPLEX(1,0),IMPRODUCT(COMPLEX(Ported!C$18,0),IMPRODUCT(C32,H32)))))</f>
        <v>23.540014529066671</v>
      </c>
      <c r="U32" s="21">
        <f>20*LOG10(Ported!C$29*50000*IMABS(N32))</f>
        <v>91.29605554124177</v>
      </c>
      <c r="V32" s="22">
        <f>20*LOG10(Ported!C$29*50000*IMABS(P32))</f>
        <v>94.239286111748584</v>
      </c>
      <c r="W32" s="22">
        <f>20*LOG10(Ported!C$29*50000*IMABS(R32))</f>
        <v>71.985200507922769</v>
      </c>
      <c r="X32" s="28">
        <f>1000*Ported!C$29*IMABS(H32)</f>
        <v>16.51004929743619</v>
      </c>
      <c r="Y32" s="28">
        <f>1000*Ported!C$29*IMABS(J32)</f>
        <v>134.45303569415222</v>
      </c>
      <c r="Z32" s="28">
        <f>Ported!C$29*IMABS(IMPRODUCT(C32,J32))</f>
        <v>13.685652081742818</v>
      </c>
      <c r="AA32" s="28">
        <f>1000*Ported!C$29*IMABS(L32)</f>
        <v>10.372091324977383</v>
      </c>
      <c r="AB32" s="41" t="str">
        <f t="shared" si="7"/>
        <v>0.00087375446189049-0.00965268485213243i</v>
      </c>
      <c r="AC32" s="28">
        <f>20*LOG10(Ported!C$29*50000*IMABS(AB32))</f>
        <v>83.535036504667318</v>
      </c>
      <c r="AD32" s="28">
        <f t="shared" si="8"/>
        <v>15022.832507337314</v>
      </c>
      <c r="AE32" s="23">
        <f t="shared" si="9"/>
        <v>-84.827721088396331</v>
      </c>
      <c r="AG32" s="64"/>
    </row>
    <row r="33" spans="2:34" s="8" customFormat="1" x14ac:dyDescent="0.25">
      <c r="B33" s="24">
        <v>16.600000000000001</v>
      </c>
      <c r="C33" s="17" t="str">
        <f t="shared" si="0"/>
        <v>104.300876099181i</v>
      </c>
      <c r="D33" s="18" t="str">
        <f>COMPLEX(Ported!C$19,2*PI()*B33*Ported!C$20)</f>
        <v>6</v>
      </c>
      <c r="E33" s="19" t="str">
        <f>IMSUB(COMPLEX(1,0),IMDIV(COMPLEX(Ported!C$41,0),IMSUM(COMPLEX(Ported!C$41,0),IMPRODUCT(C33,COMPLEX(Ported!C$42,0)))))</f>
        <v>0.937510588483617+0.242042320606787i</v>
      </c>
      <c r="F33" s="19" t="str">
        <f>IMDIV(IMPRODUCT(C33,COMPLEX((Ported!C$42*Ported!C$14/Ported!C$24),0)),IMSUM(COMPLEX(Ported!C$41,0),IMPRODUCT(C33,COMPLEX(Ported!C$42,0))))</f>
        <v>5.44047595389457+1.40459792269224i</v>
      </c>
      <c r="G33" s="30" t="str">
        <f>IMPRODUCT(F33,IMSUB(COMPLEX(1,0),IMDIV(IMPRODUCT(COMPLEX(Ported!C$41,0),E33),IMSUM(COMPLEX(0-(2*PI()*B33)^2*Ported!C$38,0),IMPRODUCT(C33,COMPLEX(0,0)),IMPRODUCT(COMPLEX(Ported!C$41,0),E33)))))</f>
        <v>-2.52804744777947+0.288022097283545i</v>
      </c>
      <c r="H33" s="32" t="str">
        <f>IMDIV(COMPLEX(Ported!C$18,0),IMPRODUCT(D33,IMSUM(COMPLEX(Ported!C$16-(2*PI()*B33)^2*Ported!C$15,0),IMPRODUCT(C33,IMSUM(COMPLEX(Ported!C$17,0),IMDIV(COMPLEX(Ported!C$18^2,0),D33))),IMPRODUCT(COMPLEX(Ported!C$14*Ported!C$41/Ported!C$24,0),G33))))</f>
        <v>0.0000844733081621982-0.000514642114988862i</v>
      </c>
      <c r="I33" s="27">
        <f t="shared" si="1"/>
        <v>-80.678595217304533</v>
      </c>
      <c r="J33" s="20" t="str">
        <f>IMPRODUCT(IMDIV(IMPRODUCT(COMPLEX(-Ported!C$41,0),F33),IMSUM(IMPRODUCT(COMPLEX(Ported!C$41,0),E33),COMPLEX(Calculations!C$3-(2*PI()*B33)^2*Ported!C$38,0),IMPRODUCT(COMPLEX(Calculations!C$4,0),C33))),H33)</f>
        <v>-0.000213353922252362+0.00432875917487623i</v>
      </c>
      <c r="K33" s="27">
        <f t="shared" si="2"/>
        <v>92.821685045699169</v>
      </c>
      <c r="L33" s="40" t="str">
        <f>IMSUM(IMPRODUCT(COMPLEX(-(Ported!C$14/Ported!C$24),0),H33),IMDIV(IMPRODUCT(COMPLEX(-Ported!C$41,0),J33),IMSUM(COMPLEX(Ported!C$41,0),IMPRODUCT(COMPLEX(Ported!C$42,0),C33))),IMDIV(IMPRODUCT(COMPLEX(Ported!C$42*Ported!C$14/Ported!C$24,0),C33,H33),IMSUM(COMPLEX(Ported!C$41,0),IMPRODUCT(COMPLEX(Ported!C$42,0),C33))))</f>
        <v>-0.000342178106204501-0.0000168651195685291i</v>
      </c>
      <c r="M33" s="28">
        <f t="shared" si="3"/>
        <v>-177.17831495429931</v>
      </c>
      <c r="N33" s="39" t="str">
        <f>IMPRODUCT(COMPLEX((Ported!C$10*Ported!C$14)/(2*PI()),0),C33,C33,H33)</f>
        <v>-0.00394448266826007+0.0240312229637372i</v>
      </c>
      <c r="O33" s="28">
        <f t="shared" si="4"/>
        <v>99.321404782695495</v>
      </c>
      <c r="P33" s="26" t="str">
        <f>IMPRODUCT(COMPLEX((Ported!C$10*Ported!C$24)/(2*PI()),0),C33,C33,J33)</f>
        <v>0.00171676348444007-0.0348315869045626i</v>
      </c>
      <c r="Q33" s="23">
        <f t="shared" si="5"/>
        <v>-87.178314954300831</v>
      </c>
      <c r="R33" s="41" t="str">
        <f>IMPRODUCT(COMPLEX((Ported!C$10*Ported!C$24)/(2*PI()),0),C33,C33,L33)</f>
        <v>0.0027533540124559+0.000135706065912955i</v>
      </c>
      <c r="S33" s="33">
        <f t="shared" si="6"/>
        <v>2.8216850457006952</v>
      </c>
      <c r="T33" s="38">
        <f>IMABS(IMDIV(D33,IMSUB(COMPLEX(1,0),IMPRODUCT(COMPLEX(Ported!C$18,0),IMPRODUCT(C33,H33)))))</f>
        <v>25.960107597159162</v>
      </c>
      <c r="U33" s="21">
        <f>20*LOG10(Ported!C$29*50000*IMABS(N33))</f>
        <v>91.537610194989128</v>
      </c>
      <c r="V33" s="22">
        <f>20*LOG10(Ported!C$29*50000*IMABS(P33))</f>
        <v>94.656636543438353</v>
      </c>
      <c r="W33" s="22">
        <f>20*LOG10(Ported!C$29*50000*IMABS(R33))</f>
        <v>72.614412409561083</v>
      </c>
      <c r="X33" s="28">
        <f>1000*Ported!C$29*IMABS(H33)</f>
        <v>16.167391524482355</v>
      </c>
      <c r="Y33" s="28">
        <f>1000*Ported!C$29*IMABS(J33)</f>
        <v>134.35442877142978</v>
      </c>
      <c r="Z33" s="28">
        <f>Ported!C$29*IMABS(IMPRODUCT(C33,J33))</f>
        <v>14.013284628665147</v>
      </c>
      <c r="AA33" s="28">
        <f>1000*Ported!C$29*IMABS(L33)</f>
        <v>10.620397702884432</v>
      </c>
      <c r="AB33" s="41" t="str">
        <f t="shared" si="7"/>
        <v>0.0005256348286359-0.0106646578749124i</v>
      </c>
      <c r="AC33" s="28">
        <f>20*LOG10(Ported!C$29*50000*IMABS(AB33))</f>
        <v>84.376109876253963</v>
      </c>
      <c r="AD33" s="28">
        <f t="shared" si="8"/>
        <v>16550.285647012872</v>
      </c>
      <c r="AE33" s="23">
        <f t="shared" si="9"/>
        <v>-87.178314954300774</v>
      </c>
      <c r="AF33"/>
      <c r="AG33" s="64"/>
      <c r="AH33"/>
    </row>
    <row r="34" spans="2:34" s="8" customFormat="1" x14ac:dyDescent="0.25">
      <c r="B34" s="24">
        <v>17</v>
      </c>
      <c r="C34" s="17" t="str">
        <f t="shared" si="0"/>
        <v>106.814150222053i</v>
      </c>
      <c r="D34" s="18" t="str">
        <f>COMPLEX(Ported!C$19,2*PI()*B34*Ported!C$20)</f>
        <v>6</v>
      </c>
      <c r="E34" s="19" t="str">
        <f>IMSUB(COMPLEX(1,0),IMDIV(COMPLEX(Ported!C$41,0),IMSUM(COMPLEX(Ported!C$41,0),IMPRODUCT(C34,COMPLEX(Ported!C$42,0)))))</f>
        <v>0.940243011752207+0.23703605338291i</v>
      </c>
      <c r="F34" s="19" t="str">
        <f>IMDIV(IMPRODUCT(C34,COMPLEX((Ported!C$42*Ported!C$14/Ported!C$24),0)),IMSUM(COMPLEX(Ported!C$41,0),IMPRODUCT(C34,COMPLEX(Ported!C$42,0))))</f>
        <v>5.45633250343251+1.3755460092687i</v>
      </c>
      <c r="G34" s="30" t="str">
        <f>IMPRODUCT(F34,IMSUB(COMPLEX(1,0),IMDIV(IMPRODUCT(COMPLEX(Ported!C$41,0),E34),IMSUM(COMPLEX(0-(2*PI()*B34)^2*Ported!C$38,0),IMPRODUCT(C34,COMPLEX(0,0)),IMPRODUCT(COMPLEX(Ported!C$41,0),E34)))))</f>
        <v>-2.70636086618891+0.322713126433555i</v>
      </c>
      <c r="H34" s="32" t="str">
        <f>IMDIV(COMPLEX(Ported!C$18,0),IMPRODUCT(D34,IMSUM(COMPLEX(Ported!C$16-(2*PI()*B34)^2*Ported!C$15,0),IMPRODUCT(C34,IMSUM(COMPLEX(Ported!C$17,0),IMDIV(COMPLEX(Ported!C$18^2,0),D34))),IMPRODUCT(COMPLEX(Ported!C$14*Ported!C$41/Ported!C$24,0),G34))))</f>
        <v>0.0000643585834458026-0.00050609472295918i</v>
      </c>
      <c r="I34" s="27">
        <f t="shared" si="1"/>
        <v>-82.752762641940805</v>
      </c>
      <c r="J34" s="20" t="str">
        <f>IMPRODUCT(IMDIV(IMPRODUCT(COMPLEX(-Ported!C$41,0),F34),IMSUM(IMPRODUCT(COMPLEX(Ported!C$41,0),E34),COMPLEX(Calculations!C$3-(2*PI()*B34)^2*Ported!C$38,0),IMPRODUCT(COMPLEX(Calculations!C$4,0),C34))),H34)</f>
        <v>-0.0000338018241904846+0.00433010339526041i</v>
      </c>
      <c r="K34" s="27">
        <f t="shared" si="2"/>
        <v>90.447255492868806</v>
      </c>
      <c r="L34" s="40" t="str">
        <f>IMSUM(IMPRODUCT(COMPLEX(-(Ported!C$14/Ported!C$24),0),H34),IMDIV(IMPRODUCT(COMPLEX(-Ported!C$41,0),J34),IMSUM(COMPLEX(Ported!C$41,0),IMPRODUCT(COMPLEX(Ported!C$42,0),C34))),IMDIV(IMPRODUCT(COMPLEX(Ported!C$42*Ported!C$14/Ported!C$24,0),C34,H34),IMSUM(COMPLEX(Ported!C$41,0),IMPRODUCT(COMPLEX(Ported!C$42,0),C34))))</f>
        <v>-0.000350532179616314-2.73633814876825E-06i</v>
      </c>
      <c r="M34" s="28">
        <f t="shared" si="3"/>
        <v>-179.55274450712878</v>
      </c>
      <c r="N34" s="39" t="str">
        <f>IMPRODUCT(COMPLEX((Ported!C$10*Ported!C$14)/(2*PI()),0),C34,C34,H34)</f>
        <v>-0.00315180030297419+0.0247847204794315i</v>
      </c>
      <c r="O34" s="28">
        <f t="shared" si="4"/>
        <v>97.247237358059195</v>
      </c>
      <c r="P34" s="26" t="str">
        <f>IMPRODUCT(COMPLEX((Ported!C$10*Ported!C$24)/(2*PI()),0),C34,C34,J34)</f>
        <v>0.000285253933147148-0.0365417859542492i</v>
      </c>
      <c r="Q34" s="23">
        <f t="shared" si="5"/>
        <v>-89.55274450713118</v>
      </c>
      <c r="R34" s="41" t="str">
        <f>IMPRODUCT(COMPLEX((Ported!C$10*Ported!C$24)/(2*PI()),0),C34,C34,L34)</f>
        <v>0.00295814457724871+0.0000230919850644173i</v>
      </c>
      <c r="S34" s="33">
        <f t="shared" si="6"/>
        <v>0.44725549287123434</v>
      </c>
      <c r="T34" s="38">
        <f>IMABS(IMDIV(D34,IMSUB(COMPLEX(1,0),IMPRODUCT(COMPLEX(Ported!C$18,0),IMPRODUCT(C34,H34)))))</f>
        <v>28.492308491754997</v>
      </c>
      <c r="U34" s="21">
        <f>20*LOG10(Ported!C$29*50000*IMABS(N34))</f>
        <v>91.759984418780249</v>
      </c>
      <c r="V34" s="22">
        <f>20*LOG10(Ported!C$29*50000*IMABS(P34))</f>
        <v>95.062693990490871</v>
      </c>
      <c r="W34" s="22">
        <f>20*LOG10(Ported!C$29*50000*IMABS(R34))</f>
        <v>73.227286523377856</v>
      </c>
      <c r="X34" s="28">
        <f>1000*Ported!C$29*IMABS(H34)</f>
        <v>15.815284187498456</v>
      </c>
      <c r="Y34" s="28">
        <f>1000*Ported!C$29*IMABS(J34)</f>
        <v>134.23729510036594</v>
      </c>
      <c r="Z34" s="28">
        <f>Ported!C$29*IMABS(IMPRODUCT(C34,J34))</f>
        <v>14.33844260425254</v>
      </c>
      <c r="AA34" s="28">
        <f>1000*Ported!C$29*IMABS(L34)</f>
        <v>10.866828650981855</v>
      </c>
      <c r="AB34" s="41" t="str">
        <f t="shared" si="7"/>
        <v>0.000091598207421668-0.0117339734897533i</v>
      </c>
      <c r="AC34" s="28">
        <f>20*LOG10(Ported!C$29*50000*IMABS(AB34))</f>
        <v>85.195800656835274</v>
      </c>
      <c r="AD34" s="28">
        <f t="shared" si="8"/>
        <v>18188.213054773441</v>
      </c>
      <c r="AE34" s="23">
        <f t="shared" si="9"/>
        <v>-89.552744507131308</v>
      </c>
      <c r="AF34"/>
      <c r="AG34" s="64"/>
      <c r="AH34"/>
    </row>
    <row r="35" spans="2:34" s="8" customFormat="1" x14ac:dyDescent="0.25">
      <c r="B35" s="24">
        <v>17.399999999999999</v>
      </c>
      <c r="C35" s="17" t="str">
        <f t="shared" si="0"/>
        <v>109.327424344925i</v>
      </c>
      <c r="D35" s="18" t="str">
        <f>COMPLEX(Ported!C$19,2*PI()*B35*Ported!C$20)</f>
        <v>6</v>
      </c>
      <c r="E35" s="19" t="str">
        <f>IMSUB(COMPLEX(1,0),IMDIV(COMPLEX(Ported!C$41,0),IMSUM(COMPLEX(Ported!C$41,0),IMPRODUCT(C35,COMPLEX(Ported!C$42,0)))))</f>
        <v>0.942803541604704+0.232217621084903i</v>
      </c>
      <c r="F35" s="19" t="str">
        <f>IMDIV(IMPRODUCT(C35,COMPLEX((Ported!C$42*Ported!C$14/Ported!C$24),0)),IMSUM(COMPLEX(Ported!C$41,0),IMPRODUCT(C35,COMPLEX(Ported!C$42,0))))</f>
        <v>5.47119153677341+1.34758412235798i</v>
      </c>
      <c r="G35" s="30" t="str">
        <f>IMPRODUCT(F35,IMSUB(COMPLEX(1,0),IMDIV(IMPRODUCT(COMPLEX(Ported!C$41,0),E35),IMSUM(COMPLEX(0-(2*PI()*B35)^2*Ported!C$38,0),IMPRODUCT(C35,COMPLEX(0,0)),IMPRODUCT(COMPLEX(Ported!C$41,0),E35)))))</f>
        <v>-2.89662244502097+0.361672483017351i</v>
      </c>
      <c r="H35" s="32" t="str">
        <f>IMDIV(COMPLEX(Ported!C$18,0),IMPRODUCT(D35,IMSUM(COMPLEX(Ported!C$16-(2*PI()*B35)^2*Ported!C$15,0),IMPRODUCT(C35,IMSUM(COMPLEX(Ported!C$17,0),IMDIV(COMPLEX(Ported!C$18^2,0),D35))),IMPRODUCT(COMPLEX(Ported!C$14*Ported!C$41/Ported!C$24,0),G35))))</f>
        <v>0.0000448777252005259-0.000496479455864071i</v>
      </c>
      <c r="I35" s="27">
        <f t="shared" si="1"/>
        <v>-84.834961980838628</v>
      </c>
      <c r="J35" s="20" t="str">
        <f>IMPRODUCT(IMDIV(IMPRODUCT(COMPLEX(-Ported!C$41,0),F35),IMSUM(IMPRODUCT(COMPLEX(Ported!C$41,0),E35),COMPLEX(Calculations!C$3-(2*PI()*B35)^2*Ported!C$38,0),IMPRODUCT(COMPLEX(Calculations!C$4,0),C35))),H35)</f>
        <v>0.000147351758240586+0.00432325973143022i</v>
      </c>
      <c r="K35" s="27">
        <f t="shared" si="2"/>
        <v>88.047915825557212</v>
      </c>
      <c r="L35" s="40" t="str">
        <f>IMSUM(IMPRODUCT(COMPLEX(-(Ported!C$14/Ported!C$24),0),H35),IMDIV(IMPRODUCT(COMPLEX(-Ported!C$41,0),J35),IMSUM(COMPLEX(Ported!C$41,0),IMPRODUCT(COMPLEX(Ported!C$42,0),C35))),IMDIV(IMPRODUCT(COMPLEX(Ported!C$42*Ported!C$14/Ported!C$24,0),C35,H35),IMSUM(COMPLEX(Ported!C$41,0),IMPRODUCT(COMPLEX(Ported!C$42,0),C35))))</f>
        <v>-0.000358212949175643+0.0000122091456827879i</v>
      </c>
      <c r="M35" s="28">
        <f t="shared" si="3"/>
        <v>178.04791582555774</v>
      </c>
      <c r="N35" s="39" t="str">
        <f>IMPRODUCT(COMPLEX((Ported!C$10*Ported!C$14)/(2*PI()),0),C35,C35,H35)</f>
        <v>-0.00230241552548034+0.0254714783816644i</v>
      </c>
      <c r="O35" s="28">
        <f t="shared" si="4"/>
        <v>95.165038019161358</v>
      </c>
      <c r="P35" s="26" t="str">
        <f>IMPRODUCT(COMPLEX((Ported!C$10*Ported!C$24)/(2*PI()),0),C35,C35,J35)</f>
        <v>-0.00130270919585736-0.0382211266119979i</v>
      </c>
      <c r="Q35" s="23">
        <f t="shared" si="5"/>
        <v>-91.952084174442788</v>
      </c>
      <c r="R35" s="41" t="str">
        <f>IMPRODUCT(COMPLEX((Ported!C$10*Ported!C$24)/(2*PI()),0),C35,C35,L35)</f>
        <v>0.00316689334785122-0.000107938761942436i</v>
      </c>
      <c r="S35" s="33">
        <f t="shared" si="6"/>
        <v>-1.9520841744422595</v>
      </c>
      <c r="T35" s="38">
        <f>IMABS(IMDIV(D35,IMSUB(COMPLEX(1,0),IMPRODUCT(COMPLEX(Ported!C$18,0),IMPRODUCT(C35,H35)))))</f>
        <v>30.843955144482116</v>
      </c>
      <c r="U35" s="21">
        <f>20*LOG10(Ported!C$29*50000*IMABS(N35))</f>
        <v>91.963057715074768</v>
      </c>
      <c r="V35" s="22">
        <f>20*LOG10(Ported!C$29*50000*IMABS(P35))</f>
        <v>95.457745849359327</v>
      </c>
      <c r="W35" s="22">
        <f>20*LOG10(Ported!C$29*50000*IMABS(R35))</f>
        <v>73.824344920332834</v>
      </c>
      <c r="X35" s="28">
        <f>1000*Ported!C$29*IMABS(H35)</f>
        <v>15.45361225610381</v>
      </c>
      <c r="Y35" s="28">
        <f>1000*Ported!C$29*IMABS(J35)</f>
        <v>134.09887413198609</v>
      </c>
      <c r="Z35" s="28">
        <f>Ported!C$29*IMABS(IMPRODUCT(C35,J35))</f>
        <v>14.660684516404325</v>
      </c>
      <c r="AA35" s="28">
        <f>1000*Ported!C$29*IMABS(L35)</f>
        <v>11.111049570935867</v>
      </c>
      <c r="AB35" s="41" t="str">
        <f t="shared" si="7"/>
        <v>-0.00043823137348648-0.0128575869922759i</v>
      </c>
      <c r="AC35" s="28">
        <f>20*LOG10(Ported!C$29*50000*IMABS(AB35))</f>
        <v>85.994865591876689</v>
      </c>
      <c r="AD35" s="28">
        <f t="shared" si="8"/>
        <v>19940.832228785319</v>
      </c>
      <c r="AE35" s="23">
        <f t="shared" si="9"/>
        <v>-91.952084174443115</v>
      </c>
      <c r="AG35" s="64"/>
    </row>
    <row r="36" spans="2:34" s="8" customFormat="1" x14ac:dyDescent="0.25">
      <c r="B36" s="24">
        <v>17.8</v>
      </c>
      <c r="C36" s="17" t="str">
        <f t="shared" si="0"/>
        <v>111.840698467797i</v>
      </c>
      <c r="D36" s="18" t="str">
        <f>COMPLEX(Ported!C$19,2*PI()*B36*Ported!C$20)</f>
        <v>6</v>
      </c>
      <c r="E36" s="19" t="str">
        <f>IMSUB(COMPLEX(1,0),IMDIV(COMPLEX(Ported!C$41,0),IMSUM(COMPLEX(Ported!C$41,0),IMPRODUCT(C36,COMPLEX(Ported!C$42,0)))))</f>
        <v>0.945206013213874+0.227577691785042i</v>
      </c>
      <c r="F36" s="19" t="str">
        <f>IMDIV(IMPRODUCT(C36,COMPLEX((Ported!C$42*Ported!C$14/Ported!C$24),0)),IMSUM(COMPLEX(Ported!C$41,0),IMPRODUCT(C36,COMPLEX(Ported!C$42,0))))</f>
        <v>5.48513334093027+1.32065810776812i</v>
      </c>
      <c r="G36" s="30" t="str">
        <f>IMPRODUCT(F36,IMSUB(COMPLEX(1,0),IMDIV(IMPRODUCT(COMPLEX(Ported!C$41,0),E36),IMSUM(COMPLEX(0-(2*PI()*B36)^2*Ported!C$38,0),IMPRODUCT(C36,COMPLEX(0,0)),IMPRODUCT(COMPLEX(Ported!C$41,0),E36)))))</f>
        <v>-3.09987399678475+0.405508097332529i</v>
      </c>
      <c r="H36" s="32" t="str">
        <f>IMDIV(COMPLEX(Ported!C$18,0),IMPRODUCT(D36,IMSUM(COMPLEX(Ported!C$16-(2*PI()*B36)^2*Ported!C$15,0),IMPRODUCT(C36,IMSUM(COMPLEX(Ported!C$17,0),IMDIV(COMPLEX(Ported!C$18^2,0),D36))),IMPRODUCT(COMPLEX(Ported!C$14*Ported!C$41/Ported!C$24,0),G36))))</f>
        <v>0.0000261020603494542-0.000485824075169209i</v>
      </c>
      <c r="I36" s="27">
        <f t="shared" si="1"/>
        <v>-86.924604120307407</v>
      </c>
      <c r="J36" s="20" t="str">
        <f>IMPRODUCT(IMDIV(IMPRODUCT(COMPLEX(-Ported!C$41,0),F36),IMSUM(IMPRODUCT(COMPLEX(Ported!C$41,0),E36),COMPLEX(Calculations!C$3-(2*PI()*B36)^2*Ported!C$38,0),IMPRODUCT(COMPLEX(Calculations!C$4,0),C36))),H36)</f>
        <v>0.000329766596384231+0.00430791633951529i</v>
      </c>
      <c r="K36" s="27">
        <f t="shared" si="2"/>
        <v>85.622603415538478</v>
      </c>
      <c r="L36" s="40" t="str">
        <f>IMSUM(IMPRODUCT(COMPLEX(-(Ported!C$14/Ported!C$24),0),H36),IMDIV(IMPRODUCT(COMPLEX(-Ported!C$41,0),J36),IMSUM(COMPLEX(Ported!C$41,0),IMPRODUCT(COMPLEX(Ported!C$42,0),C36))),IMDIV(IMPRODUCT(COMPLEX(Ported!C$42*Ported!C$14/Ported!C$24,0),C36,H36),IMSUM(COMPLEX(Ported!C$41,0),IMPRODUCT(COMPLEX(Ported!C$42,0),C36))))</f>
        <v>-0.000365147194492249+0.000027951644836367i</v>
      </c>
      <c r="M36" s="28">
        <f t="shared" si="3"/>
        <v>175.62260341554017</v>
      </c>
      <c r="N36" s="39" t="str">
        <f>IMPRODUCT(COMPLEX((Ported!C$10*Ported!C$14)/(2*PI()),0),C36,C36,H36)</f>
        <v>-0.00140142276402142+0.0260839531108517i</v>
      </c>
      <c r="O36" s="28">
        <f t="shared" si="4"/>
        <v>93.075395879692579</v>
      </c>
      <c r="P36" s="26" t="str">
        <f>IMPRODUCT(COMPLEX((Ported!C$10*Ported!C$24)/(2*PI()),0),C36,C36,J36)</f>
        <v>-0.00305098678371678-0.0398566621402265i</v>
      </c>
      <c r="Q36" s="23">
        <f t="shared" si="5"/>
        <v>-94.377396584461508</v>
      </c>
      <c r="R36" s="41" t="str">
        <f>IMPRODUCT(COMPLEX((Ported!C$10*Ported!C$24)/(2*PI()),0),C36,C36,L36)</f>
        <v>0.0033783266004573-0.000258607451191133i</v>
      </c>
      <c r="S36" s="33">
        <f t="shared" si="6"/>
        <v>-4.3773965844598361</v>
      </c>
      <c r="T36" s="38">
        <f>IMABS(IMDIV(D36,IMSUB(COMPLEX(1,0),IMPRODUCT(COMPLEX(Ported!C$18,0),IMPRODUCT(C36,H36)))))</f>
        <v>32.545998021745049</v>
      </c>
      <c r="U36" s="21">
        <f>20*LOG10(Ported!C$29*50000*IMABS(N36))</f>
        <v>92.146620606936068</v>
      </c>
      <c r="V36" s="22">
        <f>20*LOG10(Ported!C$29*50000*IMABS(P36))</f>
        <v>95.842026750610046</v>
      </c>
      <c r="W36" s="22">
        <f>20*LOG10(Ported!C$29*50000*IMABS(R36))</f>
        <v>74.406040902109538</v>
      </c>
      <c r="X36" s="28">
        <f>1000*Ported!C$29*IMABS(H36)</f>
        <v>15.082267798157282</v>
      </c>
      <c r="Y36" s="28">
        <f>1000*Ported!C$29*IMABS(J36)</f>
        <v>133.93610610173741</v>
      </c>
      <c r="Z36" s="28">
        <f>Ported!C$29*IMABS(IMPRODUCT(C36,J36))</f>
        <v>14.97950765647527</v>
      </c>
      <c r="AA36" s="28">
        <f>1000*Ported!C$29*IMABS(L36)</f>
        <v>11.352679469575829</v>
      </c>
      <c r="AB36" s="41" t="str">
        <f t="shared" si="7"/>
        <v>-0.0010740829472809-0.0140313164805659i</v>
      </c>
      <c r="AC36" s="28">
        <f>20*LOG10(Ported!C$29*50000*IMABS(AB36))</f>
        <v>86.773976654179265</v>
      </c>
      <c r="AD36" s="28">
        <f t="shared" si="8"/>
        <v>21812.1679342963</v>
      </c>
      <c r="AE36" s="23">
        <f t="shared" si="9"/>
        <v>-94.377396584461451</v>
      </c>
      <c r="AG36" s="64"/>
    </row>
    <row r="37" spans="2:34" s="8" customFormat="1" x14ac:dyDescent="0.25">
      <c r="B37" s="24">
        <v>18.2</v>
      </c>
      <c r="C37" s="17" t="str">
        <f t="shared" si="0"/>
        <v>114.353972590668i</v>
      </c>
      <c r="D37" s="18" t="str">
        <f>COMPLEX(Ported!C$19,2*PI()*B37*Ported!C$20)</f>
        <v>6</v>
      </c>
      <c r="E37" s="19" t="str">
        <f>IMSUB(COMPLEX(1,0),IMDIV(COMPLEX(Ported!C$41,0),IMSUM(COMPLEX(Ported!C$41,0),IMPRODUCT(C37,COMPLEX(Ported!C$42,0)))))</f>
        <v>0.947462926338352+0.22310743948313i</v>
      </c>
      <c r="F37" s="19" t="str">
        <f>IMDIV(IMPRODUCT(C37,COMPLEX((Ported!C$42*Ported!C$14/Ported!C$24),0)),IMSUM(COMPLEX(Ported!C$41,0),IMPRODUCT(C37,COMPLEX(Ported!C$42,0))))</f>
        <v>5.49823045336246+1.29471674725961i</v>
      </c>
      <c r="G37" s="30" t="str">
        <f>IMPRODUCT(F37,IMSUB(COMPLEX(1,0),IMDIV(IMPRODUCT(COMPLEX(Ported!C$41,0),E37),IMSUM(COMPLEX(0-(2*PI()*B37)^2*Ported!C$38,0),IMPRODUCT(C37,COMPLEX(0,0)),IMPRODUCT(COMPLEX(Ported!C$41,0),E37)))))</f>
        <v>-3.31728137147259+0.454933446400708i</v>
      </c>
      <c r="H37" s="32" t="str">
        <f>IMDIV(COMPLEX(Ported!C$18,0),IMPRODUCT(D37,IMSUM(COMPLEX(Ported!C$16-(2*PI()*B37)^2*Ported!C$15,0),IMPRODUCT(C37,IMSUM(COMPLEX(Ported!C$17,0),IMDIV(COMPLEX(Ported!C$18^2,0),D37))),IMPRODUCT(COMPLEX(Ported!C$14*Ported!C$41/Ported!C$24,0),G37))))</f>
        <v>8.10381359187785E-06-0.000474161556244711i</v>
      </c>
      <c r="I37" s="27">
        <f t="shared" si="1"/>
        <v>-89.020863015143107</v>
      </c>
      <c r="J37" s="20" t="str">
        <f>IMPRODUCT(IMDIV(IMPRODUCT(COMPLEX(-Ported!C$41,0),F37),IMSUM(IMPRODUCT(COMPLEX(Ported!C$41,0),E37),COMPLEX(Calculations!C$3-(2*PI()*B37)^2*Ported!C$38,0),IMPRODUCT(COMPLEX(Calculations!C$4,0),C37))),H37)</f>
        <v>0.000513061191161135+0.00428375979380766i</v>
      </c>
      <c r="K37" s="27">
        <f t="shared" si="2"/>
        <v>83.170280129187006</v>
      </c>
      <c r="L37" s="40" t="str">
        <f>IMSUM(IMPRODUCT(COMPLEX(-(Ported!C$14/Ported!C$24),0),H37),IMDIV(IMPRODUCT(COMPLEX(-Ported!C$41,0),J37),IMSUM(COMPLEX(Ported!C$41,0),IMPRODUCT(COMPLEX(Ported!C$42,0),C37))),IMDIV(IMPRODUCT(COMPLEX(Ported!C$42*Ported!C$14/Ported!C$24,0),C37,H37),IMSUM(COMPLEX(Ported!C$41,0),IMPRODUCT(COMPLEX(Ported!C$42,0),C37))))</f>
        <v>-0.000371259182129995+0.0000444653032339567i</v>
      </c>
      <c r="M37" s="28">
        <f t="shared" si="3"/>
        <v>173.1702801291882</v>
      </c>
      <c r="N37" s="39" t="str">
        <f>IMPRODUCT(COMPLEX((Ported!C$10*Ported!C$14)/(2*PI()),0),C37,C37,H37)</f>
        <v>-0.000454869264108095+0.0266148172970749i</v>
      </c>
      <c r="O37" s="28">
        <f t="shared" si="4"/>
        <v>90.979136984856893</v>
      </c>
      <c r="P37" s="26" t="str">
        <f>IMPRODUCT(COMPLEX((Ported!C$10*Ported!C$24)/(2*PI()),0),C37,C37,J37)</f>
        <v>-0.00496255806175757-0.0414344469346476i</v>
      </c>
      <c r="Q37" s="23">
        <f t="shared" si="5"/>
        <v>-96.829719870813008</v>
      </c>
      <c r="R37" s="41" t="str">
        <f>IMPRODUCT(COMPLEX((Ported!C$10*Ported!C$24)/(2*PI()),0),C37,C37,L37)</f>
        <v>0.00359098540100277-0.000430088365352242i</v>
      </c>
      <c r="S37" s="33">
        <f t="shared" si="6"/>
        <v>-6.8297198708117843</v>
      </c>
      <c r="T37" s="38">
        <f>IMABS(IMDIV(D37,IMSUB(COMPLEX(1,0),IMPRODUCT(COMPLEX(Ported!C$18,0),IMPRODUCT(C37,H37)))))</f>
        <v>33.104654006356085</v>
      </c>
      <c r="U37" s="21">
        <f>20*LOG10(Ported!C$29*50000*IMABS(N37))</f>
        <v>92.310372121014481</v>
      </c>
      <c r="V37" s="22">
        <f>20*LOG10(Ported!C$29*50000*IMABS(P37))</f>
        <v>96.215720056986981</v>
      </c>
      <c r="W37" s="22">
        <f>20*LOG10(Ported!C$29*50000*IMABS(R37))</f>
        <v>74.972761922010022</v>
      </c>
      <c r="X37" s="28">
        <f>1000*Ported!C$29*IMABS(H37)</f>
        <v>14.701154850546526</v>
      </c>
      <c r="Y37" s="28">
        <f>1000*Ported!C$29*IMABS(J37)</f>
        <v>133.74561823251969</v>
      </c>
      <c r="Z37" s="28">
        <f>Ported!C$29*IMABS(IMPRODUCT(C37,J37))</f>
        <v>15.294342761483509</v>
      </c>
      <c r="AA37" s="28">
        <f>1000*Ported!C$29*IMABS(L37)</f>
        <v>11.591286913484939</v>
      </c>
      <c r="AB37" s="41" t="str">
        <f t="shared" si="7"/>
        <v>-0.00182644192486289-0.0152497180029249i</v>
      </c>
      <c r="AC37" s="28">
        <f>20*LOG10(Ported!C$29*50000*IMABS(AB37))</f>
        <v>87.533725387603326</v>
      </c>
      <c r="AD37" s="28">
        <f t="shared" si="8"/>
        <v>23805.991236029116</v>
      </c>
      <c r="AE37" s="23">
        <f t="shared" si="9"/>
        <v>-96.829719870813236</v>
      </c>
      <c r="AG37" s="64"/>
    </row>
    <row r="38" spans="2:34" s="8" customFormat="1" x14ac:dyDescent="0.25">
      <c r="B38" s="24">
        <v>18.600000000000001</v>
      </c>
      <c r="C38" s="17" t="str">
        <f t="shared" si="0"/>
        <v>116.86724671354i</v>
      </c>
      <c r="D38" s="18" t="str">
        <f>COMPLEX(Ported!C$19,2*PI()*B38*Ported!C$20)</f>
        <v>6</v>
      </c>
      <c r="E38" s="19" t="str">
        <f>IMSUB(COMPLEX(1,0),IMDIV(COMPLEX(Ported!C$41,0),IMSUM(COMPLEX(Ported!C$41,0),IMPRODUCT(C38,COMPLEX(Ported!C$42,0)))))</f>
        <v>0.949585593579221+0.218798523866181i</v>
      </c>
      <c r="F38" s="19" t="str">
        <f>IMDIV(IMPRODUCT(C38,COMPLEX((Ported!C$42*Ported!C$14/Ported!C$24),0)),IMSUM(COMPLEX(Ported!C$41,0),IMPRODUCT(C38,COMPLEX(Ported!C$42,0))))</f>
        <v>5.51054852232502+1.26971164108872i</v>
      </c>
      <c r="G38" s="30" t="str">
        <f>IMPRODUCT(F38,IMSUB(COMPLEX(1,0),IMDIV(IMPRODUCT(COMPLEX(Ported!C$41,0),E38),IMSUM(COMPLEX(0-(2*PI()*B38)^2*Ported!C$38,0),IMPRODUCT(C38,COMPLEX(0,0)),IMPRODUCT(COMPLEX(Ported!C$41,0),E38)))))</f>
        <v>-3.55015215340381+0.510789551450477i</v>
      </c>
      <c r="H38" s="32" t="str">
        <f>IMDIV(COMPLEX(Ported!C$18,0),IMPRODUCT(D38,IMSUM(COMPLEX(Ported!C$16-(2*PI()*B38)^2*Ported!C$15,0),IMPRODUCT(C38,IMSUM(COMPLEX(Ported!C$17,0),IMDIV(COMPLEX(Ported!C$18^2,0),D38))),IMPRODUCT(COMPLEX(Ported!C$14*Ported!C$41/Ported!C$24,0),G38))))</f>
        <v>-9.04416465136237E-06-0.000461530595687664i</v>
      </c>
      <c r="I38" s="27">
        <f t="shared" si="1"/>
        <v>-91.122625790164776</v>
      </c>
      <c r="J38" s="20" t="str">
        <f>IMPRODUCT(IMDIV(IMPRODUCT(COMPLEX(-Ported!C$41,0),F38),IMSUM(IMPRODUCT(COMPLEX(Ported!C$41,0),E38),COMPLEX(Calculations!C$3-(2*PI()*B38)^2*Ported!C$38,0),IMPRODUCT(COMPLEX(Calculations!C$4,0),C38))),H38)</f>
        <v>0.000696808445797983+0.00425047911898232i</v>
      </c>
      <c r="K38" s="27">
        <f t="shared" si="2"/>
        <v>80.689947060647683</v>
      </c>
      <c r="L38" s="40" t="str">
        <f>IMSUM(IMPRODUCT(COMPLEX(-(Ported!C$14/Ported!C$24),0),H38),IMDIV(IMPRODUCT(COMPLEX(-Ported!C$41,0),J38),IMSUM(COMPLEX(Ported!C$41,0),IMPRODUCT(COMPLEX(Ported!C$42,0),C38))),IMDIV(IMPRODUCT(COMPLEX(Ported!C$42*Ported!C$14/Ported!C$24,0),C38,H38),IMSUM(COMPLEX(Ported!C$41,0),IMPRODUCT(COMPLEX(Ported!C$42,0),C38))))</f>
        <v>-0.000376471007681293+0.0000617173194849556i</v>
      </c>
      <c r="M38" s="28">
        <f t="shared" si="3"/>
        <v>170.68994706064899</v>
      </c>
      <c r="N38" s="39" t="str">
        <f>IMPRODUCT(COMPLEX((Ported!C$10*Ported!C$14)/(2*PI()),0),C38,C38,H38)</f>
        <v>0.00053021098617537+0.0270570695827392i</v>
      </c>
      <c r="O38" s="28">
        <f t="shared" si="4"/>
        <v>88.877374209835224</v>
      </c>
      <c r="P38" s="26" t="str">
        <f>IMPRODUCT(COMPLEX((Ported!C$10*Ported!C$24)/(2*PI()),0),C38,C38,J38)</f>
        <v>-0.00703935640711329-0.0429395447198468i</v>
      </c>
      <c r="Q38" s="23">
        <f t="shared" si="5"/>
        <v>-99.310052939352332</v>
      </c>
      <c r="R38" s="41" t="str">
        <f>IMPRODUCT(COMPLEX((Ported!C$10*Ported!C$24)/(2*PI()),0),C38,C38,L38)</f>
        <v>0.0038032168180436-0.000623485853201376i</v>
      </c>
      <c r="S38" s="33">
        <f t="shared" si="6"/>
        <v>-9.3100529393509905</v>
      </c>
      <c r="T38" s="38">
        <f>IMABS(IMDIV(D38,IMSUB(COMPLEX(1,0),IMPRODUCT(COMPLEX(Ported!C$18,0),IMPRODUCT(C38,H38)))))</f>
        <v>32.312304304221513</v>
      </c>
      <c r="U38" s="21">
        <f>20*LOG10(Ported!C$29*50000*IMABS(N38))</f>
        <v>92.453916522618357</v>
      </c>
      <c r="V38" s="22">
        <f>20*LOG10(Ported!C$29*50000*IMABS(P38))</f>
        <v>96.578959150105845</v>
      </c>
      <c r="W38" s="22">
        <f>20*LOG10(Ported!C$29*50000*IMABS(R38))</f>
        <v>75.524832139785815</v>
      </c>
      <c r="X38" s="28">
        <f>1000*Ported!C$29*IMABS(H38)</f>
        <v>14.31019526250145</v>
      </c>
      <c r="Y38" s="28">
        <f>1000*Ported!C$29*IMABS(J38)</f>
        <v>133.52371428233099</v>
      </c>
      <c r="Z38" s="28">
        <f>Ported!C$29*IMABS(IMPRODUCT(C38,J38))</f>
        <v>15.604548859141401</v>
      </c>
      <c r="AA38" s="28">
        <f>1000*Ported!C$29*IMABS(L38)</f>
        <v>11.826386122149328</v>
      </c>
      <c r="AB38" s="41" t="str">
        <f t="shared" si="7"/>
        <v>-0.00270592860289432-0.016505960990309i</v>
      </c>
      <c r="AC38" s="28">
        <f>20*LOG10(Ported!C$29*50000*IMABS(AB38))</f>
        <v>88.274626730035948</v>
      </c>
      <c r="AD38" s="28">
        <f t="shared" si="8"/>
        <v>25925.750456962633</v>
      </c>
      <c r="AE38" s="23">
        <f t="shared" si="9"/>
        <v>-99.310052939352289</v>
      </c>
      <c r="AG38" s="64"/>
    </row>
    <row r="39" spans="2:34" s="8" customFormat="1" x14ac:dyDescent="0.25">
      <c r="B39" s="24">
        <v>19.100000000000001</v>
      </c>
      <c r="C39" s="17" t="str">
        <f t="shared" si="0"/>
        <v>120.00883936713i</v>
      </c>
      <c r="D39" s="18" t="str">
        <f>COMPLEX(Ported!C$19,2*PI()*B39*Ported!C$20)</f>
        <v>6</v>
      </c>
      <c r="E39" s="19" t="str">
        <f>IMSUB(COMPLEX(1,0),IMDIV(COMPLEX(Ported!C$41,0),IMSUM(COMPLEX(Ported!C$41,0),IMPRODUCT(C39,COMPLEX(Ported!C$42,0)))))</f>
        <v>0.952065676414555+0.213627302112466i</v>
      </c>
      <c r="F39" s="19" t="str">
        <f>IMDIV(IMPRODUCT(C39,COMPLEX((Ported!C$42*Ported!C$14/Ported!C$24),0)),IMSUM(COMPLEX(Ported!C$41,0),IMPRODUCT(C39,COMPLEX(Ported!C$42,0))))</f>
        <v>5.52494071287203+1.23970247858012i</v>
      </c>
      <c r="G39" s="30" t="str">
        <f>IMPRODUCT(F39,IMSUB(COMPLEX(1,0),IMDIV(IMPRODUCT(COMPLEX(Ported!C$41,0),E39),IMSUM(COMPLEX(0-(2*PI()*B39)^2*Ported!C$38,0),IMPRODUCT(C39,COMPLEX(0,0)),IMPRODUCT(COMPLEX(Ported!C$41,0),E39)))))</f>
        <v>-3.86524261050295+0.59118764652824i</v>
      </c>
      <c r="H39" s="32" t="str">
        <f>IMDIV(COMPLEX(Ported!C$18,0),IMPRODUCT(D39,IMSUM(COMPLEX(Ported!C$16-(2*PI()*B39)^2*Ported!C$15,0),IMPRODUCT(C39,IMSUM(COMPLEX(Ported!C$17,0),IMDIV(COMPLEX(Ported!C$18^2,0),D39))),IMPRODUCT(COMPLEX(Ported!C$14*Ported!C$41/Ported!C$24,0),G39))))</f>
        <v>-0.0000291720892418707-0.000444449153178615i</v>
      </c>
      <c r="I39" s="27">
        <f t="shared" si="1"/>
        <v>-93.755308111579467</v>
      </c>
      <c r="J39" s="20" t="str">
        <f>IMPRODUCT(IMDIV(IMPRODUCT(COMPLEX(-Ported!C$41,0),F39),IMSUM(IMPRODUCT(COMPLEX(Ported!C$41,0),E39),COMPLEX(Calculations!C$3-(2*PI()*B39)^2*Ported!C$38,0),IMPRODUCT(COMPLEX(Calculations!C$4,0),C39))),H39)</f>
        <v>0.000926397429126909+0.00419558637004538i</v>
      </c>
      <c r="K39" s="27">
        <f t="shared" si="2"/>
        <v>77.548712552779946</v>
      </c>
      <c r="L39" s="40" t="str">
        <f>IMSUM(IMPRODUCT(COMPLEX(-(Ported!C$14/Ported!C$24),0),H39),IMDIV(IMPRODUCT(COMPLEX(-Ported!C$41,0),J39),IMSUM(COMPLEX(Ported!C$41,0),IMPRODUCT(COMPLEX(Ported!C$42,0),C39))),IMDIV(IMPRODUCT(COMPLEX(Ported!C$42*Ported!C$14/Ported!C$24,0),C39,H39),IMSUM(COMPLEX(Ported!C$41,0),IMPRODUCT(COMPLEX(Ported!C$42,0),C39))))</f>
        <v>-0.000381598569846985+0.0000842580518872578i</v>
      </c>
      <c r="M39" s="28">
        <f t="shared" si="3"/>
        <v>167.54871255277982</v>
      </c>
      <c r="N39" s="39" t="str">
        <f>IMPRODUCT(COMPLEX((Ported!C$10*Ported!C$14)/(2*PI()),0),C39,C39,H39)</f>
        <v>0.00180338578294022+0.0274753473238291i</v>
      </c>
      <c r="O39" s="28">
        <f t="shared" si="4"/>
        <v>86.244691888420547</v>
      </c>
      <c r="P39" s="26" t="str">
        <f>IMPRODUCT(COMPLEX((Ported!C$10*Ported!C$24)/(2*PI()),0),C39,C39,J39)</f>
        <v>-0.00986864974964717-0.0446943947366021i</v>
      </c>
      <c r="Q39" s="23">
        <f t="shared" si="5"/>
        <v>-102.45128744722005</v>
      </c>
      <c r="R39" s="41" t="str">
        <f>IMPRODUCT(COMPLEX((Ported!C$10*Ported!C$24)/(2*PI()),0),C39,C39,L39)</f>
        <v>0.00406506161651953-0.000897577191515538i</v>
      </c>
      <c r="S39" s="33">
        <f t="shared" si="6"/>
        <v>-12.451287447220173</v>
      </c>
      <c r="T39" s="38">
        <f>IMABS(IMDIV(D39,IMSUB(COMPLEX(1,0),IMPRODUCT(COMPLEX(Ported!C$18,0),IMPRODUCT(C39,H39)))))</f>
        <v>29.829096085620975</v>
      </c>
      <c r="U39" s="21">
        <f>20*LOG10(Ported!C$29*50000*IMABS(N39))</f>
        <v>92.604167660730852</v>
      </c>
      <c r="V39" s="22">
        <f>20*LOG10(Ported!C$29*50000*IMABS(P39))</f>
        <v>97.0184310529404</v>
      </c>
      <c r="W39" s="22">
        <f>20*LOG10(Ported!C$29*50000*IMABS(R39))</f>
        <v>76.194712503216579</v>
      </c>
      <c r="X39" s="28">
        <f>1000*Ported!C$29*IMABS(H39)</f>
        <v>13.807570539033962</v>
      </c>
      <c r="Y39" s="28">
        <f>1000*Ported!C$29*IMABS(J39)</f>
        <v>133.19599113704805</v>
      </c>
      <c r="Z39" s="28">
        <f>Ported!C$29*IMABS(IMPRODUCT(C39,J39))</f>
        <v>15.984696304711662</v>
      </c>
      <c r="AA39" s="28">
        <f>1000*Ported!C$29*IMABS(L39)</f>
        <v>12.114492527226769</v>
      </c>
      <c r="AB39" s="41" t="str">
        <f t="shared" si="7"/>
        <v>-0.00400020235018742-0.0181166246042885i</v>
      </c>
      <c r="AC39" s="28">
        <f>20*LOG10(Ported!C$29*50000*IMABS(AB39))</f>
        <v>89.17491555406292</v>
      </c>
      <c r="AD39" s="28">
        <f t="shared" si="8"/>
        <v>28757.1456930815</v>
      </c>
      <c r="AE39" s="23">
        <f t="shared" si="9"/>
        <v>-102.45128744721981</v>
      </c>
      <c r="AG39" s="64"/>
    </row>
    <row r="40" spans="2:34" s="8" customFormat="1" x14ac:dyDescent="0.25">
      <c r="B40" s="24">
        <v>19.5</v>
      </c>
      <c r="C40" s="17" t="str">
        <f t="shared" si="0"/>
        <v>122.522113490002i</v>
      </c>
      <c r="D40" s="18" t="str">
        <f>COMPLEX(Ported!C$19,2*PI()*B40*Ported!C$20)</f>
        <v>6</v>
      </c>
      <c r="E40" s="19" t="str">
        <f>IMSUB(COMPLEX(1,0),IMDIV(COMPLEX(Ported!C$41,0),IMSUM(COMPLEX(Ported!C$41,0),IMPRODUCT(C40,COMPLEX(Ported!C$42,0)))))</f>
        <v>0.95392235917521+0.209653265752794i</v>
      </c>
      <c r="F40" s="19" t="str">
        <f>IMDIV(IMPRODUCT(C40,COMPLEX((Ported!C$42*Ported!C$14/Ported!C$24),0)),IMSUM(COMPLEX(Ported!C$41,0),IMPRODUCT(C40,COMPLEX(Ported!C$42,0))))</f>
        <v>5.5357152449546+1.21664071317684i</v>
      </c>
      <c r="G40" s="30" t="str">
        <f>IMPRODUCT(F40,IMSUB(COMPLEX(1,0),IMDIV(IMPRODUCT(COMPLEX(Ported!C$41,0),E40),IMSUM(COMPLEX(0-(2*PI()*B40)^2*Ported!C$38,0),IMPRODUCT(C40,COMPLEX(0,0)),IMPRODUCT(COMPLEX(Ported!C$41,0),E40)))))</f>
        <v>-4.13856622965502+0.665446641750334i</v>
      </c>
      <c r="H40" s="32" t="str">
        <f>IMDIV(COMPLEX(Ported!C$18,0),IMPRODUCT(D40,IMSUM(COMPLEX(Ported!C$16-(2*PI()*B40)^2*Ported!C$15,0),IMPRODUCT(C40,IMSUM(COMPLEX(Ported!C$17,0),IMDIV(COMPLEX(Ported!C$18^2,0),D40))),IMPRODUCT(COMPLEX(Ported!C$14*Ported!C$41/Ported!C$24,0),G40))))</f>
        <v>-0.0000441400803113082-0.000429814008562292i</v>
      </c>
      <c r="I40" s="27">
        <f t="shared" si="1"/>
        <v>-95.863478908303961</v>
      </c>
      <c r="J40" s="20" t="str">
        <f>IMPRODUCT(IMDIV(IMPRODUCT(COMPLEX(-Ported!C$41,0),F40),IMSUM(IMPRODUCT(COMPLEX(Ported!C$41,0),E40),COMPLEX(Calculations!C$3-(2*PI()*B40)^2*Ported!C$38,0),IMPRODUCT(COMPLEX(Calculations!C$4,0),C40))),H40)</f>
        <v>0.00110933712266431+0.00414068845599717i</v>
      </c>
      <c r="K40" s="27">
        <f t="shared" si="2"/>
        <v>75.002027009884202</v>
      </c>
      <c r="L40" s="40" t="str">
        <f>IMSUM(IMPRODUCT(COMPLEX(-(Ported!C$14/Ported!C$24),0),H40),IMDIV(IMPRODUCT(COMPLEX(-Ported!C$41,0),J40),IMSUM(COMPLEX(Ported!C$41,0),IMPRODUCT(COMPLEX(Ported!C$42,0),C40))),IMDIV(IMPRODUCT(COMPLEX(Ported!C$42*Ported!C$14/Ported!C$24,0),C40,H40),IMSUM(COMPLEX(Ported!C$41,0),IMPRODUCT(COMPLEX(Ported!C$42,0),C40))))</f>
        <v>-0.000384492499485453+0.000103009875675968i</v>
      </c>
      <c r="M40" s="28">
        <f t="shared" si="3"/>
        <v>165.00202700988478</v>
      </c>
      <c r="N40" s="39" t="str">
        <f>IMPRODUCT(COMPLEX((Ported!C$10*Ported!C$14)/(2*PI()),0),C40,C40,H40)</f>
        <v>0.00284417762382907+0.0276951780997998i</v>
      </c>
      <c r="O40" s="28">
        <f t="shared" si="4"/>
        <v>84.136521091696039</v>
      </c>
      <c r="P40" s="26" t="str">
        <f>IMPRODUCT(COMPLEX((Ported!C$10*Ported!C$24)/(2*PI()),0),C40,C40,J40)</f>
        <v>-0.0123176094247498-0.0459764503580732i</v>
      </c>
      <c r="Q40" s="23">
        <f t="shared" si="5"/>
        <v>-104.99797299011581</v>
      </c>
      <c r="R40" s="41" t="str">
        <f>IMPRODUCT(COMPLEX((Ported!C$10*Ported!C$24)/(2*PI()),0),C40,C40,L40)</f>
        <v>0.00426924181896396-0.00114377801801244i</v>
      </c>
      <c r="S40" s="33">
        <f t="shared" si="6"/>
        <v>-14.997972990115223</v>
      </c>
      <c r="T40" s="38">
        <f>IMABS(IMDIV(D40,IMSUB(COMPLEX(1,0),IMPRODUCT(COMPLEX(Ported!C$18,0),IMPRODUCT(C40,H40)))))</f>
        <v>27.270319382911211</v>
      </c>
      <c r="U40" s="21">
        <f>20*LOG10(Ported!C$29*50000*IMABS(N40))</f>
        <v>92.700279892881511</v>
      </c>
      <c r="V40" s="22">
        <f>20*LOG10(Ported!C$29*50000*IMABS(P40))</f>
        <v>97.358384833997732</v>
      </c>
      <c r="W40" s="22">
        <f>20*LOG10(Ported!C$29*50000*IMABS(R40))</f>
        <v>76.714691166569708</v>
      </c>
      <c r="X40" s="28">
        <f>1000*Ported!C$29*IMABS(H40)</f>
        <v>13.394311476483962</v>
      </c>
      <c r="Y40" s="28">
        <f>1000*Ported!C$29*IMABS(J40)</f>
        <v>132.88818036769385</v>
      </c>
      <c r="Z40" s="28">
        <f>Ported!C$29*IMABS(IMPRODUCT(C40,J40))</f>
        <v>16.281740716490432</v>
      </c>
      <c r="AA40" s="28">
        <f>1000*Ported!C$29*IMABS(L40)</f>
        <v>12.33961674842873</v>
      </c>
      <c r="AB40" s="41" t="str">
        <f t="shared" si="7"/>
        <v>-0.00520418998195677-0.0194250502762858i</v>
      </c>
      <c r="AC40" s="28">
        <f>20*LOG10(Ported!C$29*50000*IMABS(AB40))</f>
        <v>89.874919099711889</v>
      </c>
      <c r="AD40" s="28">
        <f t="shared" si="8"/>
        <v>31170.656911266469</v>
      </c>
      <c r="AE40" s="23">
        <f t="shared" si="9"/>
        <v>-104.99797299011585</v>
      </c>
      <c r="AG40" s="64"/>
    </row>
    <row r="41" spans="2:34" s="8" customFormat="1" x14ac:dyDescent="0.25">
      <c r="B41" s="24">
        <v>20</v>
      </c>
      <c r="C41" s="17" t="str">
        <f t="shared" si="0"/>
        <v>125.663706143592i</v>
      </c>
      <c r="D41" s="18" t="str">
        <f>COMPLEX(Ported!C$19,2*PI()*B41*Ported!C$20)</f>
        <v>6</v>
      </c>
      <c r="E41" s="19" t="str">
        <f>IMSUB(COMPLEX(1,0),IMDIV(COMPLEX(Ported!C$41,0),IMSUM(COMPLEX(Ported!C$41,0),IMPRODUCT(C41,COMPLEX(Ported!C$42,0)))))</f>
        <v>0.95609756097561+0.204878048780488i</v>
      </c>
      <c r="F41" s="19" t="str">
        <f>IMDIV(IMPRODUCT(C41,COMPLEX((Ported!C$42*Ported!C$14/Ported!C$24),0)),IMSUM(COMPLEX(Ported!C$41,0),IMPRODUCT(C41,COMPLEX(Ported!C$42,0))))</f>
        <v>5.54833817768229+1.18892960950335i</v>
      </c>
      <c r="G41" s="30" t="str">
        <f>IMPRODUCT(F41,IMSUB(COMPLEX(1,0),IMDIV(IMPRODUCT(COMPLEX(Ported!C$41,0),E41),IMSUM(COMPLEX(0-(2*PI()*B41)^2*Ported!C$38,0),IMPRODUCT(C41,COMPLEX(0,0)),IMPRODUCT(COMPLEX(Ported!C$41,0),E41)))))</f>
        <v>-4.50994974791775+0.773134242500166i</v>
      </c>
      <c r="H41" s="32" t="str">
        <f>IMDIV(COMPLEX(Ported!C$18,0),IMPRODUCT(D41,IMSUM(COMPLEX(Ported!C$16-(2*PI()*B41)^2*Ported!C$15,0),IMPRODUCT(C41,IMSUM(COMPLEX(Ported!C$17,0),IMDIV(COMPLEX(Ported!C$18^2,0),D41))),IMPRODUCT(COMPLEX(Ported!C$14*Ported!C$41/Ported!C$24,0),G41))))</f>
        <v>-0.0000613145618055881-0.000410407825677736i</v>
      </c>
      <c r="I41" s="27">
        <f t="shared" si="1"/>
        <v>-98.497091493922085</v>
      </c>
      <c r="J41" s="20" t="str">
        <f>IMPRODUCT(IMDIV(IMPRODUCT(COMPLEX(-Ported!C$41,0),F41),IMSUM(IMPRODUCT(COMPLEX(Ported!C$41,0),E41),COMPLEX(Calculations!C$3-(2*PI()*B41)^2*Ported!C$38,0),IMPRODUCT(COMPLEX(Calculations!C$4,0),C41))),H41)</f>
        <v>0.00133610835595567+0.00405790713599174i</v>
      </c>
      <c r="K41" s="27">
        <f t="shared" si="2"/>
        <v>71.775329954676621</v>
      </c>
      <c r="L41" s="40" t="str">
        <f>IMSUM(IMPRODUCT(COMPLEX(-(Ported!C$14/Ported!C$24),0),H41),IMDIV(IMPRODUCT(COMPLEX(-Ported!C$41,0),J41),IMSUM(COMPLEX(Ported!C$41,0),IMPRODUCT(COMPLEX(Ported!C$42,0),C41))),IMDIV(IMPRODUCT(COMPLEX(Ported!C$42*Ported!C$14/Ported!C$24,0),C41,H41),IMSUM(COMPLEX(Ported!C$41,0),IMPRODUCT(COMPLEX(Ported!C$42,0),C41))))</f>
        <v>-0.000386467346284927+0.000127248414852928i</v>
      </c>
      <c r="M41" s="28">
        <f t="shared" si="3"/>
        <v>161.77532995467564</v>
      </c>
      <c r="N41" s="39" t="str">
        <f>IMPRODUCT(COMPLEX((Ported!C$10*Ported!C$14)/(2*PI()),0),C41,C41,H41)</f>
        <v>0.00415602349244584+0.0278182623307085i</v>
      </c>
      <c r="O41" s="28">
        <f t="shared" si="4"/>
        <v>81.502908506077929</v>
      </c>
      <c r="P41" s="26" t="str">
        <f>IMPRODUCT(COMPLEX((Ported!C$10*Ported!C$24)/(2*PI()),0),C41,C41,J41)</f>
        <v>-0.0156061339903651-0.0473975349397838i</v>
      </c>
      <c r="Q41" s="23">
        <f t="shared" si="5"/>
        <v>-108.22467004532334</v>
      </c>
      <c r="R41" s="41" t="str">
        <f>IMPRODUCT(COMPLEX((Ported!C$10*Ported!C$24)/(2*PI()),0),C41,C41,L41)</f>
        <v>0.00451405094664607-0.00148629847527295i</v>
      </c>
      <c r="S41" s="33">
        <f t="shared" si="6"/>
        <v>-18.22467004532432</v>
      </c>
      <c r="T41" s="38">
        <f>IMABS(IMDIV(D41,IMSUB(COMPLEX(1,0),IMPRODUCT(COMPLEX(Ported!C$18,0),IMPRODUCT(C41,H41)))))</f>
        <v>24.043431204422756</v>
      </c>
      <c r="U41" s="21">
        <f>20*LOG10(Ported!C$29*50000*IMABS(N41))</f>
        <v>92.789102893364117</v>
      </c>
      <c r="V41" s="22">
        <f>20*LOG10(Ported!C$29*50000*IMABS(P41))</f>
        <v>97.768763016704895</v>
      </c>
      <c r="W41" s="22">
        <f>20*LOG10(Ported!C$29*50000*IMABS(R41))</f>
        <v>77.344977035306158</v>
      </c>
      <c r="X41" s="28">
        <f>1000*Ported!C$29*IMABS(H41)</f>
        <v>12.863844315410834</v>
      </c>
      <c r="Y41" s="28">
        <f>1000*Ported!C$29*IMABS(J41)</f>
        <v>132.4385737786501</v>
      </c>
      <c r="Z41" s="28">
        <f>Ported!C$29*IMABS(IMPRODUCT(C41,J41))</f>
        <v>16.642722017396711</v>
      </c>
      <c r="AA41" s="28">
        <f>1000*Ported!C$29*IMABS(L41)</f>
        <v>12.61319750272863</v>
      </c>
      <c r="AB41" s="41" t="str">
        <f t="shared" si="7"/>
        <v>-0.00693605955127319-0.0210655710843482i</v>
      </c>
      <c r="AC41" s="28">
        <f>20*LOG10(Ported!C$29*50000*IMABS(AB41))</f>
        <v>90.725112654477556</v>
      </c>
      <c r="AD41" s="28">
        <f t="shared" si="8"/>
        <v>34376.023116679826</v>
      </c>
      <c r="AE41" s="23">
        <f t="shared" si="9"/>
        <v>-108.22467004532299</v>
      </c>
      <c r="AG41" s="64"/>
    </row>
    <row r="42" spans="2:34" s="8" customFormat="1" x14ac:dyDescent="0.25">
      <c r="B42" s="24">
        <v>20.399999999999999</v>
      </c>
      <c r="C42" s="17" t="str">
        <f t="shared" si="0"/>
        <v>128.176980266464i</v>
      </c>
      <c r="D42" s="18" t="str">
        <f>COMPLEX(Ported!C$19,2*PI()*B42*Ported!C$20)</f>
        <v>6</v>
      </c>
      <c r="E42" s="19" t="str">
        <f>IMSUB(COMPLEX(1,0),IMDIV(COMPLEX(Ported!C$41,0),IMSUM(COMPLEX(Ported!C$41,0),IMPRODUCT(C42,COMPLEX(Ported!C$42,0)))))</f>
        <v>0.957730285405113+0.201203841471662i</v>
      </c>
      <c r="F42" s="19" t="str">
        <f>IMDIV(IMPRODUCT(C42,COMPLEX((Ported!C$42*Ported!C$14/Ported!C$24),0)),IMSUM(COMPLEX(Ported!C$41,0),IMPRODUCT(C42,COMPLEX(Ported!C$42,0))))</f>
        <v>5.55781305520067+1.16760778470602i</v>
      </c>
      <c r="G42" s="30" t="str">
        <f>IMPRODUCT(F42,IMSUB(COMPLEX(1,0),IMDIV(IMPRODUCT(COMPLEX(Ported!C$41,0),E42),IMSUM(COMPLEX(0-(2*PI()*B42)^2*Ported!C$38,0),IMPRODUCT(C42,COMPLEX(0,0)),IMPRODUCT(COMPLEX(Ported!C$41,0),E42)))))</f>
        <v>-4.83354199309799+0.873407885657583i</v>
      </c>
      <c r="H42" s="32" t="str">
        <f>IMDIV(COMPLEX(Ported!C$18,0),IMPRODUCT(D42,IMSUM(COMPLEX(Ported!C$16-(2*PI()*B42)^2*Ported!C$15,0),IMPRODUCT(C42,IMSUM(COMPLEX(Ported!C$17,0),IMDIV(COMPLEX(Ported!C$18^2,0),D42))),IMPRODUCT(COMPLEX(Ported!C$14*Ported!C$41/Ported!C$24,0),G42))))</f>
        <v>-0.0000737409952362601-0.0003940785836825i</v>
      </c>
      <c r="I42" s="27">
        <f t="shared" si="1"/>
        <v>-100.59876284324137</v>
      </c>
      <c r="J42" s="20" t="str">
        <f>IMPRODUCT(IMDIV(IMPRODUCT(COMPLEX(-Ported!C$41,0),F42),IMSUM(IMPRODUCT(COMPLEX(Ported!C$41,0),E42),COMPLEX(Calculations!C$3-(2*PI()*B42)^2*Ported!C$38,0),IMPRODUCT(COMPLEX(Calculations!C$4,0),C42))),H42)</f>
        <v>0.00151518499058039+0.00398008091711582i</v>
      </c>
      <c r="K42" s="27">
        <f t="shared" si="2"/>
        <v>69.158570800018779</v>
      </c>
      <c r="L42" s="40" t="str">
        <f>IMSUM(IMPRODUCT(COMPLEX(-(Ported!C$14/Ported!C$24),0),H42),IMDIV(IMPRODUCT(COMPLEX(-Ported!C$41,0),J42),IMSUM(COMPLEX(Ported!C$41,0),IMPRODUCT(COMPLEX(Ported!C$42,0),C42))),IMDIV(IMPRODUCT(COMPLEX(Ported!C$42*Ported!C$14/Ported!C$24,0),C42,H42),IMSUM(COMPLEX(Ported!C$41,0),IMPRODUCT(COMPLEX(Ported!C$42,0),C42))))</f>
        <v>-0.000386636431948393+0.000147189399084947i</v>
      </c>
      <c r="M42" s="28">
        <f t="shared" si="3"/>
        <v>159.15857080001939</v>
      </c>
      <c r="N42" s="39" t="str">
        <f>IMPRODUCT(COMPLEX((Ported!C$10*Ported!C$14)/(2*PI()),0),C42,C42,H42)</f>
        <v>0.00520024377952788+0.0277905756068829i</v>
      </c>
      <c r="O42" s="28">
        <f t="shared" si="4"/>
        <v>79.401237156758626</v>
      </c>
      <c r="P42" s="26" t="str">
        <f>IMPRODUCT(COMPLEX((Ported!C$10*Ported!C$24)/(2*PI()),0),C42,C42,J42)</f>
        <v>-0.0184127923044924-0.0483666375640744i</v>
      </c>
      <c r="Q42" s="23">
        <f t="shared" si="5"/>
        <v>-110.84142919998123</v>
      </c>
      <c r="R42" s="41" t="str">
        <f>IMPRODUCT(COMPLEX((Ported!C$10*Ported!C$24)/(2*PI()),0),C42,C42,L42)</f>
        <v>0.00469847336336722-0.00178867125243634i</v>
      </c>
      <c r="S42" s="33">
        <f t="shared" si="6"/>
        <v>-20.841429199980578</v>
      </c>
      <c r="T42" s="38">
        <f>IMABS(IMDIV(D42,IMSUB(COMPLEX(1,0),IMPRODUCT(COMPLEX(Ported!C$18,0),IMPRODUCT(C42,H42)))))</f>
        <v>21.699360305391789</v>
      </c>
      <c r="U42" s="21">
        <f>20*LOG10(Ported!C$29*50000*IMABS(N42))</f>
        <v>92.834050632476973</v>
      </c>
      <c r="V42" s="22">
        <f>20*LOG10(Ported!C$29*50000*IMABS(P42))</f>
        <v>98.085327601585718</v>
      </c>
      <c r="W42" s="22">
        <f>20*LOG10(Ported!C$29*50000*IMABS(R42))</f>
        <v>77.833545055425262</v>
      </c>
      <c r="X42" s="28">
        <f>1000*Ported!C$29*IMABS(H42)</f>
        <v>12.428474306217533</v>
      </c>
      <c r="Y42" s="28">
        <f>1000*Ported!C$29*IMABS(J42)</f>
        <v>132.02080633609725</v>
      </c>
      <c r="Z42" s="28">
        <f>Ported!C$29*IMABS(IMPRODUCT(C42,J42))</f>
        <v>16.922028288504588</v>
      </c>
      <c r="AA42" s="28">
        <f>1000*Ported!C$29*IMABS(L42)</f>
        <v>12.82487832979222</v>
      </c>
      <c r="AB42" s="41" t="str">
        <f t="shared" si="7"/>
        <v>-0.0085140751615973-0.0223647332096278i</v>
      </c>
      <c r="AC42" s="28">
        <f>20*LOG10(Ported!C$29*50000*IMABS(AB42))</f>
        <v>91.385684109835111</v>
      </c>
      <c r="AD42" s="28">
        <f t="shared" si="8"/>
        <v>37092.337735263696</v>
      </c>
      <c r="AE42" s="23">
        <f t="shared" si="9"/>
        <v>-110.84142919998143</v>
      </c>
      <c r="AG42" s="64"/>
    </row>
    <row r="43" spans="2:34" s="8" customFormat="1" x14ac:dyDescent="0.25">
      <c r="B43" s="24">
        <v>20.9</v>
      </c>
      <c r="C43" s="17" t="str">
        <f t="shared" si="0"/>
        <v>131.318572920053i</v>
      </c>
      <c r="D43" s="18" t="str">
        <f>COMPLEX(Ported!C$19,2*PI()*B43*Ported!C$20)</f>
        <v>6</v>
      </c>
      <c r="E43" s="19" t="str">
        <f>IMSUB(COMPLEX(1,0),IMDIV(COMPLEX(Ported!C$41,0),IMSUM(COMPLEX(Ported!C$41,0),IMPRODUCT(C43,COMPLEX(Ported!C$42,0)))))</f>
        <v>0.959647932696338+0.196783581550857i</v>
      </c>
      <c r="F43" s="19" t="str">
        <f>IMDIV(IMPRODUCT(C43,COMPLEX((Ported!C$42*Ported!C$14/Ported!C$24),0)),IMSUM(COMPLEX(Ported!C$41,0),IMPRODUCT(C43,COMPLEX(Ported!C$42,0))))</f>
        <v>5.56894137108757+1.14195653542466i</v>
      </c>
      <c r="G43" s="30" t="str">
        <f>IMPRODUCT(F43,IMSUB(COMPLEX(1,0),IMDIV(IMPRODUCT(COMPLEX(Ported!C$41,0),E43),IMSUM(COMPLEX(0-(2*PI()*B43)^2*Ported!C$38,0),IMPRODUCT(C43,COMPLEX(0,0)),IMPRODUCT(COMPLEX(Ported!C$41,0),E43)))))</f>
        <v>-5.27533087506374+1.02014059601121i</v>
      </c>
      <c r="H43" s="32" t="str">
        <f>IMDIV(COMPLEX(Ported!C$18,0),IMPRODUCT(D43,IMSUM(COMPLEX(Ported!C$16-(2*PI()*B43)^2*Ported!C$15,0),IMPRODUCT(C43,IMSUM(COMPLEX(Ported!C$17,0),IMDIV(COMPLEX(Ported!C$18^2,0),D43))),IMPRODUCT(COMPLEX(Ported!C$14*Ported!C$41/Ported!C$24,0),G43))))</f>
        <v>-0.0000875241221259728-0.000372792585089397i</v>
      </c>
      <c r="I43" s="27">
        <f t="shared" si="1"/>
        <v>-103.21258759407097</v>
      </c>
      <c r="J43" s="20" t="str">
        <f>IMPRODUCT(IMDIV(IMPRODUCT(COMPLEX(-Ported!C$41,0),F43),IMSUM(IMPRODUCT(COMPLEX(Ported!C$41,0),E43),COMPLEX(Calculations!C$3-(2*PI()*B43)^2*Ported!C$38,0),IMPRODUCT(COMPLEX(Calculations!C$4,0),C43))),H43)</f>
        <v>0.00173489068092555+0.00386801032853046i</v>
      </c>
      <c r="K43" s="27">
        <f t="shared" si="2"/>
        <v>65.842679798604991</v>
      </c>
      <c r="L43" s="40" t="str">
        <f>IMSUM(IMPRODUCT(COMPLEX(-(Ported!C$14/Ported!C$24),0),H43),IMDIV(IMPRODUCT(COMPLEX(-Ported!C$41,0),J43),IMSUM(COMPLEX(Ported!C$41,0),IMPRODUCT(COMPLEX(Ported!C$42,0),C43))),IMDIV(IMPRODUCT(COMPLEX(Ported!C$42*Ported!C$14/Ported!C$24,0),C43,H43),IMSUM(COMPLEX(Ported!C$41,0),IMPRODUCT(COMPLEX(Ported!C$42,0),C43))))</f>
        <v>-0.000384959123172796+0.000172662929673054i</v>
      </c>
      <c r="M43" s="28">
        <f t="shared" si="3"/>
        <v>155.8426797986067</v>
      </c>
      <c r="N43" s="39" t="str">
        <f>IMPRODUCT(COMPLEX((Ported!C$10*Ported!C$14)/(2*PI()),0),C43,C43,H43)</f>
        <v>0.00647850367238803+0.0275939715003893i</v>
      </c>
      <c r="O43" s="28">
        <f t="shared" si="4"/>
        <v>76.787412405929032</v>
      </c>
      <c r="P43" s="26" t="str">
        <f>IMPRODUCT(COMPLEX((Ported!C$10*Ported!C$24)/(2*PI()),0),C43,C43,J43)</f>
        <v>-0.0221288245956198-0.0493371271372744i</v>
      </c>
      <c r="Q43" s="23">
        <f t="shared" si="5"/>
        <v>-114.15732020139497</v>
      </c>
      <c r="R43" s="41" t="str">
        <f>IMPRODUCT(COMPLEX((Ported!C$10*Ported!C$24)/(2*PI()),0),C43,C43,L43)</f>
        <v>0.0049102188436621-0.0022023449240401i</v>
      </c>
      <c r="S43" s="33">
        <f t="shared" si="6"/>
        <v>-24.157320201393333</v>
      </c>
      <c r="T43" s="38">
        <f>IMABS(IMDIV(D43,IMSUB(COMPLEX(1,0),IMPRODUCT(COMPLEX(Ported!C$18,0),IMPRODUCT(C43,H43)))))</f>
        <v>19.17466735072481</v>
      </c>
      <c r="U43" s="21">
        <f>20*LOG10(Ported!C$29*50000*IMABS(N43))</f>
        <v>92.855942901682909</v>
      </c>
      <c r="V43" s="22">
        <f>20*LOG10(Ported!C$29*50000*IMABS(P43))</f>
        <v>98.466165527980692</v>
      </c>
      <c r="W43" s="22">
        <f>20*LOG10(Ported!C$29*50000*IMABS(R43))</f>
        <v>78.424705355523329</v>
      </c>
      <c r="X43" s="28">
        <f>1000*Ported!C$29*IMABS(H43)</f>
        <v>11.870805654922785</v>
      </c>
      <c r="Y43" s="28">
        <f>1000*Ported!C$29*IMABS(J43)</f>
        <v>131.41714858762455</v>
      </c>
      <c r="Z43" s="28">
        <f>Ported!C$29*IMABS(IMPRODUCT(C43,J43))</f>
        <v>17.257512409749403</v>
      </c>
      <c r="AA43" s="28">
        <f>1000*Ported!C$29*IMABS(L43)</f>
        <v>13.079135264196834</v>
      </c>
      <c r="AB43" s="41" t="str">
        <f t="shared" si="7"/>
        <v>-0.0107401020795697-0.0239455005609252i</v>
      </c>
      <c r="AC43" s="28">
        <f>20*LOG10(Ported!C$29*50000*IMABS(AB43))</f>
        <v>92.187166783636314</v>
      </c>
      <c r="AD43" s="28">
        <f t="shared" si="8"/>
        <v>40677.882657253846</v>
      </c>
      <c r="AE43" s="23">
        <f t="shared" si="9"/>
        <v>-114.15732020139521</v>
      </c>
      <c r="AG43" s="64"/>
    </row>
    <row r="44" spans="2:34" s="8" customFormat="1" x14ac:dyDescent="0.25">
      <c r="B44" s="24">
        <v>21.4</v>
      </c>
      <c r="C44" s="17" t="str">
        <f t="shared" si="0"/>
        <v>134.460165573643i</v>
      </c>
      <c r="D44" s="18" t="str">
        <f>COMPLEX(Ported!C$19,2*PI()*B44*Ported!C$20)</f>
        <v>6</v>
      </c>
      <c r="E44" s="19" t="str">
        <f>IMSUB(COMPLEX(1,0),IMDIV(COMPLEX(Ported!C$41,0),IMSUM(COMPLEX(Ported!C$41,0),IMPRODUCT(C44,COMPLEX(Ported!C$42,0)))))</f>
        <v>0.961439654773513+0.192544657164256i</v>
      </c>
      <c r="F44" s="19" t="str">
        <f>IMDIV(IMPRODUCT(C44,COMPLEX((Ported!C$42*Ported!C$14/Ported!C$24),0)),IMSUM(COMPLEX(Ported!C$41,0),IMPRODUCT(C44,COMPLEX(Ported!C$42,0))))</f>
        <v>5.57933892925562+1.1173575959791i</v>
      </c>
      <c r="G44" s="30" t="str">
        <f>IMPRODUCT(F44,IMSUB(COMPLEX(1,0),IMDIV(IMPRODUCT(COMPLEX(Ported!C$41,0),E44),IMSUM(COMPLEX(0-(2*PI()*B44)^2*Ported!C$38,0),IMPRODUCT(C44,COMPLEX(0,0)),IMPRODUCT(COMPLEX(Ported!C$41,0),E44)))))</f>
        <v>-5.76398024806522+1.19590835970173i</v>
      </c>
      <c r="H44" s="32" t="str">
        <f>IMDIV(COMPLEX(Ported!C$18,0),IMPRODUCT(D44,IMSUM(COMPLEX(Ported!C$16-(2*PI()*B44)^2*Ported!C$15,0),IMPRODUCT(C44,IMSUM(COMPLEX(Ported!C$17,0),IMDIV(COMPLEX(Ported!C$18^2,0),D44))),IMPRODUCT(COMPLEX(Ported!C$14*Ported!C$41/Ported!C$24,0),G44))))</f>
        <v>-0.0000992519262271233-0.000350699800087723i</v>
      </c>
      <c r="I44" s="27">
        <f t="shared" si="1"/>
        <v>-105.80210038255083</v>
      </c>
      <c r="J44" s="20" t="str">
        <f>IMPRODUCT(IMDIV(IMPRODUCT(COMPLEX(-Ported!C$41,0),F44),IMSUM(IMPRODUCT(COMPLEX(Ported!C$41,0),E44),COMPLEX(Calculations!C$3-(2*PI()*B44)^2*Ported!C$38,0),IMPRODUCT(COMPLEX(Calculations!C$4,0),C44))),H44)</f>
        <v>0.00194851486707044+0.00373931666777249i</v>
      </c>
      <c r="K44" s="27">
        <f t="shared" si="2"/>
        <v>62.476498823733536</v>
      </c>
      <c r="L44" s="40" t="str">
        <f>IMSUM(IMPRODUCT(COMPLEX(-(Ported!C$14/Ported!C$24),0),H44),IMDIV(IMPRODUCT(COMPLEX(-Ported!C$41,0),J44),IMSUM(COMPLEX(Ported!C$41,0),IMPRODUCT(COMPLEX(Ported!C$42,0),C44))),IMDIV(IMPRODUCT(COMPLEX(Ported!C$42*Ported!C$14/Ported!C$24,0),C44,H44),IMSUM(COMPLEX(Ported!C$41,0),IMPRODUCT(COMPLEX(Ported!C$42,0),C44))))</f>
        <v>-0.000381054174715863+0.0001985629435967i</v>
      </c>
      <c r="M44" s="28">
        <f t="shared" si="3"/>
        <v>152.47649882373375</v>
      </c>
      <c r="N44" s="39" t="str">
        <f>IMPRODUCT(COMPLEX((Ported!C$10*Ported!C$14)/(2*PI()),0),C44,C44,H44)</f>
        <v>0.0077023077015432+0.0272155702546673i</v>
      </c>
      <c r="O44" s="28">
        <f t="shared" si="4"/>
        <v>74.197899617449181</v>
      </c>
      <c r="P44" s="26" t="str">
        <f>IMPRODUCT(COMPLEX((Ported!C$10*Ported!C$24)/(2*PI()),0),C44,C44,J44)</f>
        <v>-0.0260570310471393-0.0500050023501879i</v>
      </c>
      <c r="Q44" s="23">
        <f t="shared" si="5"/>
        <v>-117.52350117626644</v>
      </c>
      <c r="R44" s="41" t="str">
        <f>IMPRODUCT(COMPLEX((Ported!C$10*Ported!C$24)/(2*PI()),0),C44,C44,L44)</f>
        <v>0.00509574785854295-0.0026553355448037i</v>
      </c>
      <c r="S44" s="33">
        <f t="shared" si="6"/>
        <v>-27.523501176266294</v>
      </c>
      <c r="T44" s="38">
        <f>IMABS(IMDIV(D44,IMSUB(COMPLEX(1,0),IMPRODUCT(COMPLEX(Ported!C$18,0),IMPRODUCT(C44,H44)))))</f>
        <v>17.086426146152242</v>
      </c>
      <c r="U44" s="21">
        <f>20*LOG10(Ported!C$29*50000*IMABS(N44))</f>
        <v>92.83760336448772</v>
      </c>
      <c r="V44" s="22">
        <f>20*LOG10(Ported!C$29*50000*IMABS(P44))</f>
        <v>98.830180086374369</v>
      </c>
      <c r="W44" s="22">
        <f>20*LOG10(Ported!C$29*50000*IMABS(R44))</f>
        <v>78.994069658679791</v>
      </c>
      <c r="X44" s="28">
        <f>1000*Ported!C$29*IMABS(H44)</f>
        <v>11.298693913472921</v>
      </c>
      <c r="Y44" s="28">
        <f>1000*Ported!C$29*IMABS(J44)</f>
        <v>130.71270234847776</v>
      </c>
      <c r="Z44" s="28">
        <f>Ported!C$29*IMABS(IMPRODUCT(C44,J44))</f>
        <v>17.575651600354625</v>
      </c>
      <c r="AA44" s="28">
        <f>1000*Ported!C$29*IMABS(L44)</f>
        <v>13.320246810749602</v>
      </c>
      <c r="AB44" s="41" t="str">
        <f t="shared" si="7"/>
        <v>-0.0132589754870532-0.0254447676403243i</v>
      </c>
      <c r="AC44" s="28">
        <f>20*LOG10(Ported!C$29*50000*IMABS(AB44))</f>
        <v>92.961880831555447</v>
      </c>
      <c r="AD44" s="28">
        <f t="shared" si="8"/>
        <v>44472.755778626844</v>
      </c>
      <c r="AE44" s="23">
        <f t="shared" si="9"/>
        <v>-117.52350117626654</v>
      </c>
      <c r="AG44" s="64"/>
    </row>
    <row r="45" spans="2:34" s="8" customFormat="1" x14ac:dyDescent="0.25">
      <c r="B45" s="24">
        <v>21.9</v>
      </c>
      <c r="C45" s="17" t="str">
        <f t="shared" si="0"/>
        <v>137.601758227233i</v>
      </c>
      <c r="D45" s="18" t="str">
        <f>COMPLEX(Ported!C$19,2*PI()*B45*Ported!C$20)</f>
        <v>6</v>
      </c>
      <c r="E45" s="19" t="str">
        <f>IMSUB(COMPLEX(1,0),IMDIV(COMPLEX(Ported!C$41,0),IMSUM(COMPLEX(Ported!C$41,0),IMPRODUCT(C45,COMPLEX(Ported!C$42,0)))))</f>
        <v>0.963116099453749+0.188476731791341i</v>
      </c>
      <c r="F45" s="19" t="str">
        <f>IMDIV(IMPRODUCT(C45,COMPLEX((Ported!C$42*Ported!C$14/Ported!C$24),0)),IMSUM(COMPLEX(Ported!C$41,0),IMPRODUCT(C45,COMPLEX(Ported!C$42,0))))</f>
        <v>5.58906752014613+1.09375098241607i</v>
      </c>
      <c r="G45" s="30" t="str">
        <f>IMPRODUCT(F45,IMSUB(COMPLEX(1,0),IMDIV(IMPRODUCT(COMPLEX(Ported!C$41,0),E45),IMSUM(COMPLEX(0-(2*PI()*B45)^2*Ported!C$38,0),IMPRODUCT(C45,COMPLEX(0,0)),IMPRODUCT(COMPLEX(Ported!C$41,0),E45)))))</f>
        <v>-6.30624716133094+1.4079458139192i</v>
      </c>
      <c r="H45" s="32" t="str">
        <f>IMDIV(COMPLEX(Ported!C$18,0),IMPRODUCT(D45,IMSUM(COMPLEX(Ported!C$16-(2*PI()*B45)^2*Ported!C$15,0),IMPRODUCT(C45,IMSUM(COMPLEX(Ported!C$17,0),IMDIV(COMPLEX(Ported!C$18^2,0),D45))),IMPRODUCT(COMPLEX(Ported!C$14*Ported!C$41/Ported!C$24,0),G45))))</f>
        <v>-0.000108819620974787-0.000327997912628477i</v>
      </c>
      <c r="I45" s="27">
        <f t="shared" si="1"/>
        <v>-108.35425709867469</v>
      </c>
      <c r="J45" s="20" t="str">
        <f>IMPRODUCT(IMDIV(IMPRODUCT(COMPLEX(-Ported!C$41,0),F45),IMSUM(IMPRODUCT(COMPLEX(Ported!C$41,0),E45),COMPLEX(Calculations!C$3-(2*PI()*B45)^2*Ported!C$38,0),IMPRODUCT(COMPLEX(Calculations!C$4,0),C45))),H45)</f>
        <v>0.00215433798823206+0.00359396467557157i</v>
      </c>
      <c r="K45" s="27">
        <f t="shared" si="2"/>
        <v>59.060172371224489</v>
      </c>
      <c r="L45" s="40" t="str">
        <f>IMSUM(IMPRODUCT(COMPLEX(-(Ported!C$14/Ported!C$24),0),H45),IMDIV(IMPRODUCT(COMPLEX(-Ported!C$41,0),J45),IMSUM(COMPLEX(Ported!C$41,0),IMPRODUCT(COMPLEX(Ported!C$42,0),C45))),IMDIV(IMPRODUCT(COMPLEX(Ported!C$42*Ported!C$14/Ported!C$24,0),C45,H45),IMSUM(COMPLEX(Ported!C$41,0),IMPRODUCT(COMPLEX(Ported!C$42,0),C45))))</f>
        <v>-0.000374799173309611+0.00022466667591562i</v>
      </c>
      <c r="M45" s="28">
        <f t="shared" si="3"/>
        <v>149.0601723712258</v>
      </c>
      <c r="N45" s="39" t="str">
        <f>IMPRODUCT(COMPLEX((Ported!C$10*Ported!C$14)/(2*PI()),0),C45,C45,H45)</f>
        <v>0.00884402195832406+0.0266571479994661i</v>
      </c>
      <c r="O45" s="28">
        <f t="shared" si="4"/>
        <v>71.645742901325278</v>
      </c>
      <c r="P45" s="26" t="str">
        <f>IMPRODUCT(COMPLEX((Ported!C$10*Ported!C$24)/(2*PI()),0),C45,C45,J45)</f>
        <v>-0.0301714185238394-0.0503333334782583i</v>
      </c>
      <c r="Q45" s="23">
        <f t="shared" si="5"/>
        <v>-120.93982762877552</v>
      </c>
      <c r="R45" s="41" t="str">
        <f>IMPRODUCT(COMPLEX((Ported!C$10*Ported!C$24)/(2*PI()),0),C45,C45,L45)</f>
        <v>0.00524904763416128-0.00314644793177169i</v>
      </c>
      <c r="S45" s="33">
        <f t="shared" si="6"/>
        <v>-30.939827628774196</v>
      </c>
      <c r="T45" s="38">
        <f>IMABS(IMDIV(D45,IMSUB(COMPLEX(1,0),IMPRODUCT(COMPLEX(Ported!C$18,0),IMPRODUCT(C45,H45)))))</f>
        <v>15.372514880635045</v>
      </c>
      <c r="U45" s="21">
        <f>20*LOG10(Ported!C$29*50000*IMABS(N45))</f>
        <v>92.776414549314566</v>
      </c>
      <c r="V45" s="22">
        <f>20*LOG10(Ported!C$29*50000*IMABS(P45))</f>
        <v>99.17696141829795</v>
      </c>
      <c r="W45" s="22">
        <f>20*LOG10(Ported!C$29*50000*IMABS(R45))</f>
        <v>79.541457820421911</v>
      </c>
      <c r="X45" s="28">
        <f>1000*Ported!C$29*IMABS(H45)</f>
        <v>10.712926365583902</v>
      </c>
      <c r="Y45" s="28">
        <f>1000*Ported!C$29*IMABS(J45)</f>
        <v>129.89611942156307</v>
      </c>
      <c r="Z45" s="28">
        <f>Ported!C$29*IMABS(IMPRODUCT(C45,J45))</f>
        <v>17.873934419301701</v>
      </c>
      <c r="AA45" s="28">
        <f>1000*Ported!C$29*IMABS(L45)</f>
        <v>13.546309596820121</v>
      </c>
      <c r="AB45" s="41" t="str">
        <f t="shared" si="7"/>
        <v>-0.0160783489313541-0.0268226334105639i</v>
      </c>
      <c r="AC45" s="28">
        <f>20*LOG10(Ported!C$29*50000*IMABS(AB45))</f>
        <v>93.709875823116207</v>
      </c>
      <c r="AD45" s="28">
        <f t="shared" si="8"/>
        <v>48472.318278216131</v>
      </c>
      <c r="AE45" s="23">
        <f t="shared" si="9"/>
        <v>-120.93982762877562</v>
      </c>
      <c r="AG45" s="64"/>
    </row>
    <row r="46" spans="2:34" s="8" customFormat="1" x14ac:dyDescent="0.25">
      <c r="B46" s="24">
        <v>22.4</v>
      </c>
      <c r="C46" s="17" t="str">
        <f t="shared" si="0"/>
        <v>140.743350880823i</v>
      </c>
      <c r="D46" s="18" t="str">
        <f>COMPLEX(Ported!C$19,2*PI()*B46*Ported!C$20)</f>
        <v>6</v>
      </c>
      <c r="E46" s="19" t="str">
        <f>IMSUB(COMPLEX(1,0),IMDIV(COMPLEX(Ported!C$41,0),IMSUM(COMPLEX(Ported!C$41,0),IMPRODUCT(C46,COMPLEX(Ported!C$42,0)))))</f>
        <v>0.964686827087872+0.184570183754057i</v>
      </c>
      <c r="F46" s="19" t="str">
        <f>IMDIV(IMPRODUCT(C46,COMPLEX((Ported!C$42*Ported!C$14/Ported!C$24),0)),IMSUM(COMPLEX(Ported!C$41,0),IMPRODUCT(C46,COMPLEX(Ported!C$42,0))))</f>
        <v>5.59818262351512+1.0710808590909i</v>
      </c>
      <c r="G46" s="30" t="str">
        <f>IMPRODUCT(F46,IMSUB(COMPLEX(1,0),IMDIV(IMPRODUCT(COMPLEX(Ported!C$41,0),E46),IMSUM(COMPLEX(0-(2*PI()*B46)^2*Ported!C$38,0),IMPRODUCT(C46,COMPLEX(0,0)),IMPRODUCT(COMPLEX(Ported!C$41,0),E46)))))</f>
        <v>-6.91004620899353+1.6657403476883i</v>
      </c>
      <c r="H46" s="32" t="str">
        <f>IMDIV(COMPLEX(Ported!C$18,0),IMPRODUCT(D46,IMSUM(COMPLEX(Ported!C$16-(2*PI()*B46)^2*Ported!C$15,0),IMPRODUCT(C46,IMSUM(COMPLEX(Ported!C$17,0),IMDIV(COMPLEX(Ported!C$18^2,0),D46))),IMPRODUCT(COMPLEX(Ported!C$14*Ported!C$41/Ported!C$24,0),G46))))</f>
        <v>-0.000116141875835526-0.000304906395693878i</v>
      </c>
      <c r="I46" s="27">
        <f t="shared" si="1"/>
        <v>-110.8523343234594</v>
      </c>
      <c r="J46" s="20" t="str">
        <f>IMPRODUCT(IMDIV(IMPRODUCT(COMPLEX(-Ported!C$41,0),F46),IMSUM(IMPRODUCT(COMPLEX(Ported!C$41,0),E46),COMPLEX(Calculations!C$3-(2*PI()*B46)^2*Ported!C$38,0),IMPRODUCT(COMPLEX(Calculations!C$4,0),C46))),H46)</f>
        <v>0.00235051927805797+0.0034321380092559i</v>
      </c>
      <c r="K46" s="27">
        <f t="shared" si="2"/>
        <v>55.594484310964603</v>
      </c>
      <c r="L46" s="40" t="str">
        <f>IMSUM(IMPRODUCT(COMPLEX(-(Ported!C$14/Ported!C$24),0),H46),IMDIV(IMPRODUCT(COMPLEX(-Ported!C$41,0),J46),IMSUM(COMPLEX(Ported!C$41,0),IMPRODUCT(COMPLEX(Ported!C$42,0),C46))),IMDIV(IMPRODUCT(COMPLEX(Ported!C$42*Ported!C$14/Ported!C$24,0),C46,H46),IMSUM(COMPLEX(Ported!C$41,0),IMPRODUCT(COMPLEX(Ported!C$42,0),C46))))</f>
        <v>-0.000366094720987297+0.000250722056326192i</v>
      </c>
      <c r="M46" s="28">
        <f t="shared" si="3"/>
        <v>145.59448431096376</v>
      </c>
      <c r="N46" s="39" t="str">
        <f>IMPRODUCT(COMPLEX((Ported!C$10*Ported!C$14)/(2*PI()),0),C46,C46,H46)</f>
        <v>0.00987504870800158+0.0259248913210444i</v>
      </c>
      <c r="O46" s="28">
        <f t="shared" si="4"/>
        <v>69.147665676540569</v>
      </c>
      <c r="P46" s="26" t="str">
        <f>IMPRODUCT(COMPLEX((Ported!C$10*Ported!C$24)/(2*PI()),0),C46,C46,J46)</f>
        <v>-0.0344392364421634-0.0502868508700591i</v>
      </c>
      <c r="Q46" s="23">
        <f t="shared" si="5"/>
        <v>-124.40551568903537</v>
      </c>
      <c r="R46" s="41" t="str">
        <f>IMPRODUCT(COMPLEX((Ported!C$10*Ported!C$24)/(2*PI()),0),C46,C46,L46)</f>
        <v>0.00536393075947298-0.00367351855383089i</v>
      </c>
      <c r="S46" s="33">
        <f t="shared" si="6"/>
        <v>-34.405515689036235</v>
      </c>
      <c r="T46" s="38">
        <f>IMABS(IMDIV(D46,IMSUB(COMPLEX(1,0),IMPRODUCT(COMPLEX(Ported!C$18,0),IMPRODUCT(C46,H46)))))</f>
        <v>13.964426302351768</v>
      </c>
      <c r="U46" s="21">
        <f>20*LOG10(Ported!C$29*50000*IMABS(N46))</f>
        <v>92.669378098651563</v>
      </c>
      <c r="V46" s="22">
        <f>20*LOG10(Ported!C$29*50000*IMABS(P46))</f>
        <v>99.506021507548581</v>
      </c>
      <c r="W46" s="22">
        <f>20*LOG10(Ported!C$29*50000*IMABS(R46))</f>
        <v>80.06659597955354</v>
      </c>
      <c r="X46" s="28">
        <f>1000*Ported!C$29*IMABS(H46)</f>
        <v>10.114594825536958</v>
      </c>
      <c r="Y46" s="28">
        <f>1000*Ported!C$29*IMABS(J46)</f>
        <v>128.95594680218619</v>
      </c>
      <c r="Z46" s="28">
        <f>Ported!C$29*IMABS(IMPRODUCT(C46,J46))</f>
        <v>18.149692068948823</v>
      </c>
      <c r="AA46" s="28">
        <f>1000*Ported!C$29*IMABS(L46)</f>
        <v>13.755300992233366</v>
      </c>
      <c r="AB46" s="41" t="str">
        <f t="shared" si="7"/>
        <v>-0.0192002569746888-0.0280354781028456i</v>
      </c>
      <c r="AC46" s="28">
        <f>20*LOG10(Ported!C$29*50000*IMABS(AB46))</f>
        <v>94.431092052128633</v>
      </c>
      <c r="AD46" s="28">
        <f t="shared" si="8"/>
        <v>52668.94298909948</v>
      </c>
      <c r="AE46" s="23">
        <f t="shared" si="9"/>
        <v>-124.40551568903518</v>
      </c>
      <c r="AG46" s="64"/>
    </row>
    <row r="47" spans="2:34" s="8" customFormat="1" x14ac:dyDescent="0.25">
      <c r="B47" s="24">
        <v>22.9</v>
      </c>
      <c r="C47" s="17" t="str">
        <f t="shared" si="0"/>
        <v>143.884943534413i</v>
      </c>
      <c r="D47" s="18" t="str">
        <f>COMPLEX(Ported!C$19,2*PI()*B47*Ported!C$20)</f>
        <v>6</v>
      </c>
      <c r="E47" s="19" t="str">
        <f>IMSUB(COMPLEX(1,0),IMDIV(COMPLEX(Ported!C$41,0),IMSUM(COMPLEX(Ported!C$41,0),IMPRODUCT(C47,COMPLEX(Ported!C$42,0)))))</f>
        <v>0.966160439372855+0.180816052284377i</v>
      </c>
      <c r="F47" s="19" t="str">
        <f>IMDIV(IMPRODUCT(C47,COMPLEX((Ported!C$42*Ported!C$14/Ported!C$24),0)),IMSUM(COMPLEX(Ported!C$41,0),IMPRODUCT(C47,COMPLEX(Ported!C$42,0))))</f>
        <v>5.60673415594611+1.04929522569172i</v>
      </c>
      <c r="G47" s="30" t="str">
        <f>IMPRODUCT(F47,IMSUB(COMPLEX(1,0),IMDIV(IMPRODUCT(COMPLEX(Ported!C$41,0),E47),IMSUM(COMPLEX(0-(2*PI()*B47)^2*Ported!C$38,0),IMPRODUCT(C47,COMPLEX(0,0)),IMPRODUCT(COMPLEX(Ported!C$41,0),E47)))))</f>
        <v>-7.58460251501522+1.98188067072205i</v>
      </c>
      <c r="H47" s="32" t="str">
        <f>IMDIV(COMPLEX(Ported!C$18,0),IMPRODUCT(D47,IMSUM(COMPLEX(Ported!C$16-(2*PI()*B47)^2*Ported!C$15,0),IMPRODUCT(C47,IMSUM(COMPLEX(Ported!C$17,0),IMDIV(COMPLEX(Ported!C$18^2,0),D47))),IMPRODUCT(COMPLEX(Ported!C$14*Ported!C$41/Ported!C$24,0),G47))))</f>
        <v>-0.000121158000983669-0.000281665030079873i</v>
      </c>
      <c r="I47" s="27">
        <f t="shared" si="1"/>
        <v>-113.27492131699552</v>
      </c>
      <c r="J47" s="20" t="str">
        <f>IMPRODUCT(IMDIV(IMPRODUCT(COMPLEX(-Ported!C$41,0),F47),IMSUM(IMPRODUCT(COMPLEX(Ported!C$41,0),E47),COMPLEX(Calculations!C$3-(2*PI()*B47)^2*Ported!C$38,0),IMPRODUCT(COMPLEX(Calculations!C$4,0),C47))),H47)</f>
        <v>0.0025351262980068+0.00325427992554397i</v>
      </c>
      <c r="K47" s="27">
        <f t="shared" si="2"/>
        <v>52.080946465971408</v>
      </c>
      <c r="L47" s="40" t="str">
        <f>IMSUM(IMPRODUCT(COMPLEX(-(Ported!C$14/Ported!C$24),0),H47),IMDIV(IMPRODUCT(COMPLEX(-Ported!C$41,0),J47),IMSUM(COMPLEX(Ported!C$41,0),IMPRODUCT(COMPLEX(Ported!C$42,0),C47))),IMDIV(IMPRODUCT(COMPLEX(Ported!C$42*Ported!C$14/Ported!C$24,0),C47,H47),IMSUM(COMPLEX(Ported!C$41,0),IMPRODUCT(COMPLEX(Ported!C$42,0),C47))))</f>
        <v>-0.000354871477595034+0.000276449486782641i</v>
      </c>
      <c r="M47" s="28">
        <f t="shared" si="3"/>
        <v>142.080946465972</v>
      </c>
      <c r="N47" s="39" t="str">
        <f>IMPRODUCT(COMPLEX((Ported!C$10*Ported!C$14)/(2*PI()),0),C47,C47,H47)</f>
        <v>0.010766571713658+0.025029851276544i</v>
      </c>
      <c r="O47" s="28">
        <f t="shared" si="4"/>
        <v>66.725078683004597</v>
      </c>
      <c r="P47" s="26" t="str">
        <f>IMPRODUCT(COMPLEX((Ported!C$10*Ported!C$24)/(2*PI()),0),C47,C47,J47)</f>
        <v>-0.0388207771325918-0.0498332867344469i</v>
      </c>
      <c r="Q47" s="23">
        <f t="shared" si="5"/>
        <v>-127.91905353402862</v>
      </c>
      <c r="R47" s="41" t="str">
        <f>IMPRODUCT(COMPLEX((Ported!C$10*Ported!C$24)/(2*PI()),0),C47,C47,L47)</f>
        <v>0.00543420126770875-0.00423331331588731i</v>
      </c>
      <c r="S47" s="33">
        <f t="shared" si="6"/>
        <v>-37.919053534028002</v>
      </c>
      <c r="T47" s="38">
        <f>IMABS(IMDIV(D47,IMSUB(COMPLEX(1,0),IMPRODUCT(COMPLEX(Ported!C$18,0),IMPRODUCT(C47,H47)))))</f>
        <v>12.802434518887848</v>
      </c>
      <c r="U47" s="21">
        <f>20*LOG10(Ported!C$29*50000*IMABS(N47))</f>
        <v>92.513086843429676</v>
      </c>
      <c r="V47" s="22">
        <f>20*LOG10(Ported!C$29*50000*IMABS(P47))</f>
        <v>99.81680829846627</v>
      </c>
      <c r="W47" s="22">
        <f>20*LOG10(Ported!C$29*50000*IMABS(R47))</f>
        <v>80.569132050585608</v>
      </c>
      <c r="X47" s="28">
        <f>1000*Ported!C$29*IMABS(H47)</f>
        <v>9.5051505410349275</v>
      </c>
      <c r="Y47" s="28">
        <f>1000*Ported!C$29*IMABS(J47)</f>
        <v>127.88092999583249</v>
      </c>
      <c r="Z47" s="28">
        <f>Ported!C$29*IMABS(IMPRODUCT(C47,J47))</f>
        <v>18.400140391578585</v>
      </c>
      <c r="AA47" s="28">
        <f>1000*Ported!C$29*IMABS(L47)</f>
        <v>13.945110937640704</v>
      </c>
      <c r="AB47" s="41" t="str">
        <f t="shared" si="7"/>
        <v>-0.022620004151225-0.0290367487737902i</v>
      </c>
      <c r="AC47" s="28">
        <f>20*LOG10(Ported!C$29*50000*IMABS(AB47))</f>
        <v>95.12537740327528</v>
      </c>
      <c r="AD47" s="28">
        <f t="shared" si="8"/>
        <v>57051.736823576444</v>
      </c>
      <c r="AE47" s="23">
        <f t="shared" si="9"/>
        <v>-127.91905353402879</v>
      </c>
      <c r="AG47" s="64"/>
    </row>
    <row r="48" spans="2:34" s="8" customFormat="1" x14ac:dyDescent="0.25">
      <c r="B48" s="24">
        <v>23.4</v>
      </c>
      <c r="C48" s="17" t="str">
        <f t="shared" si="0"/>
        <v>147.026536188002i</v>
      </c>
      <c r="D48" s="18" t="str">
        <f>COMPLEX(Ported!C$19,2*PI()*B48*Ported!C$20)</f>
        <v>6</v>
      </c>
      <c r="E48" s="19" t="str">
        <f>IMSUB(COMPLEX(1,0),IMDIV(COMPLEX(Ported!C$41,0),IMSUM(COMPLEX(Ported!C$41,0),IMPRODUCT(C48,COMPLEX(Ported!C$42,0)))))</f>
        <v>0.967544690960547+0.177205987355412i</v>
      </c>
      <c r="F48" s="19" t="str">
        <f>IMDIV(IMPRODUCT(C48,COMPLEX((Ported!C$42*Ported!C$14/Ported!C$24),0)),IMSUM(COMPLEX(Ported!C$41,0),IMPRODUCT(C48,COMPLEX(Ported!C$42,0))))</f>
        <v>5.61476711852753+1.02834562610395i</v>
      </c>
      <c r="G48" s="30" t="str">
        <f>IMPRODUCT(F48,IMSUB(COMPLEX(1,0),IMDIV(IMPRODUCT(COMPLEX(Ported!C$41,0),E48),IMSUM(COMPLEX(0-(2*PI()*B48)^2*Ported!C$38,0),IMPRODUCT(C48,COMPLEX(0,0)),IMPRODUCT(COMPLEX(Ported!C$41,0),E48)))))</f>
        <v>-8.34055252391354+2.37327847973606i</v>
      </c>
      <c r="H48" s="32" t="str">
        <f>IMDIV(COMPLEX(Ported!C$18,0),IMPRODUCT(D48,IMSUM(COMPLEX(Ported!C$16-(2*PI()*B48)^2*Ported!C$15,0),IMPRODUCT(C48,IMSUM(COMPLEX(Ported!C$17,0),IMDIV(COMPLEX(Ported!C$18^2,0),D48))),IMPRODUCT(COMPLEX(Ported!C$14*Ported!C$41/Ported!C$24,0),G48))))</f>
        <v>-0.000123837294071342-0.000258531116337517i</v>
      </c>
      <c r="I48" s="27">
        <f t="shared" si="1"/>
        <v>-115.59458118434246</v>
      </c>
      <c r="J48" s="20" t="str">
        <f>IMPRODUCT(IMDIV(IMPRODUCT(COMPLEX(-Ported!C$41,0),F48),IMSUM(IMPRODUCT(COMPLEX(Ported!C$41,0),E48),COMPLEX(Calculations!C$3-(2*PI()*B48)^2*Ported!C$38,0),IMPRODUCT(COMPLEX(Calculations!C$4,0),C48))),H48)</f>
        <v>0.00270617651276682+0.00306113078545499i</v>
      </c>
      <c r="K48" s="27">
        <f t="shared" si="2"/>
        <v>48.521879489818595</v>
      </c>
      <c r="L48" s="40" t="str">
        <f>IMSUM(IMPRODUCT(COMPLEX(-(Ported!C$14/Ported!C$24),0),H48),IMDIV(IMPRODUCT(COMPLEX(-Ported!C$41,0),J48),IMSUM(COMPLEX(Ported!C$41,0),IMPRODUCT(COMPLEX(Ported!C$42,0),C48))),IMDIV(IMPRODUCT(COMPLEX(Ported!C$42*Ported!C$14/Ported!C$24,0),C48,H48),IMSUM(COMPLEX(Ported!C$41,0),IMPRODUCT(COMPLEX(Ported!C$42,0),C48))))</f>
        <v>-0.000341097430379275+0.000301545382851155i</v>
      </c>
      <c r="M48" s="28">
        <f t="shared" si="3"/>
        <v>138.52187948981944</v>
      </c>
      <c r="N48" s="39" t="str">
        <f>IMPRODUCT(COMPLEX((Ported!C$10*Ported!C$14)/(2*PI()),0),C48,C48,H48)</f>
        <v>0.0114904633604018+0.02398826897888i</v>
      </c>
      <c r="O48" s="28">
        <f t="shared" si="4"/>
        <v>64.405418815657555</v>
      </c>
      <c r="P48" s="26" t="str">
        <f>IMPRODUCT(COMPLEX((Ported!C$10*Ported!C$24)/(2*PI()),0),C48,C48,J48)</f>
        <v>-0.0432694619861225-0.0489448790686504i</v>
      </c>
      <c r="Q48" s="23">
        <f t="shared" si="5"/>
        <v>-131.47812051018138</v>
      </c>
      <c r="R48" s="41" t="str">
        <f>IMPRODUCT(COMPLEX((Ported!C$10*Ported!C$24)/(2*PI()),0),C48,C48,L48)</f>
        <v>0.00545385795336397-0.00482145433559643i</v>
      </c>
      <c r="S48" s="33">
        <f t="shared" si="6"/>
        <v>-41.478120510180588</v>
      </c>
      <c r="T48" s="38">
        <f>IMABS(IMDIV(D48,IMSUB(COMPLEX(1,0),IMPRODUCT(COMPLEX(Ported!C$18,0),IMPRODUCT(C48,H48)))))</f>
        <v>11.838457416578768</v>
      </c>
      <c r="U48" s="21">
        <f>20*LOG10(Ported!C$29*50000*IMABS(N48))</f>
        <v>92.303700723771058</v>
      </c>
      <c r="V48" s="22">
        <f>20*LOG10(Ported!C$29*50000*IMABS(P48))</f>
        <v>100.10872291840201</v>
      </c>
      <c r="W48" s="22">
        <f>20*LOG10(Ported!C$29*50000*IMABS(R48))</f>
        <v>81.048654171926486</v>
      </c>
      <c r="X48" s="28">
        <f>1000*Ported!C$29*IMABS(H48)</f>
        <v>8.8864631316653213</v>
      </c>
      <c r="Y48" s="28">
        <f>1000*Ported!C$29*IMABS(J48)</f>
        <v>126.66037421687392</v>
      </c>
      <c r="Z48" s="28">
        <f>Ported!C$29*IMABS(IMPRODUCT(C48,J48))</f>
        <v>18.622436093383087</v>
      </c>
      <c r="AA48" s="28">
        <f>1000*Ported!C$29*IMABS(L48)</f>
        <v>14.11358455559453</v>
      </c>
      <c r="AB48" s="41" t="str">
        <f t="shared" si="7"/>
        <v>-0.0263251406723567-0.0297780644253668i</v>
      </c>
      <c r="AC48" s="28">
        <f>20*LOG10(Ported!C$29*50000*IMABS(AB48))</f>
        <v>95.79250702602117</v>
      </c>
      <c r="AD48" s="28">
        <f t="shared" si="8"/>
        <v>61606.331906699765</v>
      </c>
      <c r="AE48" s="23">
        <f t="shared" si="9"/>
        <v>-131.47812051018124</v>
      </c>
      <c r="AG48" s="64"/>
    </row>
    <row r="49" spans="2:33" s="8" customFormat="1" x14ac:dyDescent="0.25">
      <c r="B49" s="24">
        <v>24</v>
      </c>
      <c r="C49" s="17" t="str">
        <f t="shared" si="0"/>
        <v>150.79644737231i</v>
      </c>
      <c r="D49" s="18" t="str">
        <f>COMPLEX(Ported!C$19,2*PI()*B49*Ported!C$20)</f>
        <v>6</v>
      </c>
      <c r="E49" s="19" t="str">
        <f>IMSUB(COMPLEX(1,0),IMDIV(COMPLEX(Ported!C$41,0),IMSUM(COMPLEX(Ported!C$41,0),IMPRODUCT(C49,COMPLEX(Ported!C$42,0)))))</f>
        <v>0.969097651421508+0.173053152039555i</v>
      </c>
      <c r="F49" s="19" t="str">
        <f>IMDIV(IMPRODUCT(C49,COMPLEX((Ported!C$42*Ported!C$14/Ported!C$24),0)),IMSUM(COMPLEX(Ported!C$41,0),IMPRODUCT(C49,COMPLEX(Ported!C$42,0))))</f>
        <v>5.62377911705746+1.00424627090312i</v>
      </c>
      <c r="G49" s="30" t="str">
        <f>IMPRODUCT(F49,IMSUB(COMPLEX(1,0),IMDIV(IMPRODUCT(COMPLEX(Ported!C$41,0),E49),IMSUM(COMPLEX(0-(2*PI()*B49)^2*Ported!C$38,0),IMPRODUCT(C49,COMPLEX(0,0)),IMPRODUCT(COMPLEX(Ported!C$41,0),E49)))))</f>
        <v>-9.37210706140887+2.97527208298693i</v>
      </c>
      <c r="H49" s="32" t="str">
        <f>IMDIV(COMPLEX(Ported!C$18,0),IMPRODUCT(D49,IMSUM(COMPLEX(Ported!C$16-(2*PI()*B49)^2*Ported!C$15,0),IMPRODUCT(C49,IMSUM(COMPLEX(Ported!C$17,0),IMDIV(COMPLEX(Ported!C$18^2,0),D49))),IMPRODUCT(COMPLEX(Ported!C$14*Ported!C$41/Ported!C$24,0),G49))))</f>
        <v>-0.000123976840545878-0.000231293799576253i</v>
      </c>
      <c r="I49" s="27">
        <f t="shared" si="1"/>
        <v>-118.19195571029152</v>
      </c>
      <c r="J49" s="20" t="str">
        <f>IMPRODUCT(IMDIV(IMPRODUCT(COMPLEX(-Ported!C$41,0),F49),IMSUM(IMPRODUCT(COMPLEX(Ported!C$41,0),E49),COMPLEX(Calculations!C$3-(2*PI()*B49)^2*Ported!C$38,0),IMPRODUCT(COMPLEX(Calculations!C$4,0),C49))),H49)</f>
        <v>0.00289075969934124+0.00281069596821191i</v>
      </c>
      <c r="K49" s="27">
        <f t="shared" si="2"/>
        <v>44.195466446784678</v>
      </c>
      <c r="L49" s="40" t="str">
        <f>IMSUM(IMPRODUCT(COMPLEX(-(Ported!C$14/Ported!C$24),0),H49),IMDIV(IMPRODUCT(COMPLEX(-Ported!C$41,0),J49),IMSUM(COMPLEX(Ported!C$41,0),IMPRODUCT(COMPLEX(Ported!C$42,0),C49))),IMDIV(IMPRODUCT(COMPLEX(Ported!C$42*Ported!C$14/Ported!C$24,0),C49,H49),IMSUM(COMPLEX(Ported!C$41,0),IMPRODUCT(COMPLEX(Ported!C$42,0),C49))))</f>
        <v>-0.000321222396367077+0.000330372537067572i</v>
      </c>
      <c r="M49" s="28">
        <f t="shared" si="3"/>
        <v>134.19546644678465</v>
      </c>
      <c r="N49" s="39" t="str">
        <f>IMPRODUCT(COMPLEX((Ported!C$10*Ported!C$14)/(2*PI()),0),C49,C49,H49)</f>
        <v>0.0121008930208896+0.022575680366944i</v>
      </c>
      <c r="O49" s="28">
        <f t="shared" si="4"/>
        <v>61.808044289708533</v>
      </c>
      <c r="P49" s="26" t="str">
        <f>IMPRODUCT(COMPLEX((Ported!C$10*Ported!C$24)/(2*PI()),0),C49,C49,J49)</f>
        <v>-0.0486214755870022-0.0472748341662725i</v>
      </c>
      <c r="Q49" s="23">
        <f t="shared" si="5"/>
        <v>-135.80453355321535</v>
      </c>
      <c r="R49" s="41" t="str">
        <f>IMPRODUCT(COMPLEX((Ported!C$10*Ported!C$24)/(2*PI()),0),C49,C49,L49)</f>
        <v>0.00540283819043117-0.00555674006708599i</v>
      </c>
      <c r="S49" s="33">
        <f t="shared" si="6"/>
        <v>-45.804533553215308</v>
      </c>
      <c r="T49" s="38">
        <f>IMABS(IMDIV(D49,IMSUB(COMPLEX(1,0),IMPRODUCT(COMPLEX(Ported!C$18,0),IMPRODUCT(C49,H49)))))</f>
        <v>10.890802944375107</v>
      </c>
      <c r="U49" s="21">
        <f>20*LOG10(Ported!C$29*50000*IMABS(N49))</f>
        <v>91.976287713701552</v>
      </c>
      <c r="V49" s="22">
        <f>20*LOG10(Ported!C$29*50000*IMABS(P49))</f>
        <v>100.4332282403318</v>
      </c>
      <c r="W49" s="22">
        <f>20*LOG10(Ported!C$29*50000*IMABS(R49))</f>
        <v>81.593067179885566</v>
      </c>
      <c r="X49" s="28">
        <f>1000*Ported!C$29*IMABS(H49)</f>
        <v>8.1351867000275906</v>
      </c>
      <c r="Y49" s="28">
        <f>1000*Ported!C$29*IMABS(J49)</f>
        <v>124.98999891959707</v>
      </c>
      <c r="Z49" s="28">
        <f>Ported!C$29*IMABS(IMPRODUCT(C49,J49))</f>
        <v>18.848047794144097</v>
      </c>
      <c r="AA49" s="28">
        <f>1000*Ported!C$29*IMABS(L49)</f>
        <v>14.284571305096881</v>
      </c>
      <c r="AB49" s="41" t="str">
        <f t="shared" si="7"/>
        <v>-0.0311177443756814-0.0302558938664145i</v>
      </c>
      <c r="AC49" s="28">
        <f>20*LOG10(Ported!C$29*50000*IMABS(AB49))</f>
        <v>96.556827720009551</v>
      </c>
      <c r="AD49" s="28">
        <f t="shared" si="8"/>
        <v>67273.091512640487</v>
      </c>
      <c r="AE49" s="23">
        <f t="shared" si="9"/>
        <v>-135.80453355321521</v>
      </c>
      <c r="AG49" s="64"/>
    </row>
    <row r="50" spans="2:33" s="8" customFormat="1" x14ac:dyDescent="0.25">
      <c r="B50" s="24">
        <v>24.5</v>
      </c>
      <c r="C50" s="17" t="str">
        <f t="shared" si="0"/>
        <v>153.9380400259i</v>
      </c>
      <c r="D50" s="18" t="str">
        <f>COMPLEX(Ported!C$19,2*PI()*B50*Ported!C$20)</f>
        <v>6</v>
      </c>
      <c r="E50" s="19" t="str">
        <f>IMSUB(COMPLEX(1,0),IMDIV(COMPLEX(Ported!C$41,0),IMSUM(COMPLEX(Ported!C$41,0),IMPRODUCT(C50,COMPLEX(Ported!C$42,0)))))</f>
        <v>0.970309033476565+0.169733358625639i</v>
      </c>
      <c r="F50" s="19" t="str">
        <f>IMDIV(IMPRODUCT(C50,COMPLEX((Ported!C$42*Ported!C$14/Ported!C$24),0)),IMSUM(COMPLEX(Ported!C$41,0),IMPRODUCT(C50,COMPLEX(Ported!C$42,0))))</f>
        <v>5.63080889893136+0.984981148501115i</v>
      </c>
      <c r="G50" s="30" t="str">
        <f>IMPRODUCT(F50,IMSUB(COMPLEX(1,0),IMDIV(IMPRODUCT(COMPLEX(Ported!C$41,0),E50),IMSUM(COMPLEX(0-(2*PI()*B50)^2*Ported!C$38,0),IMPRODUCT(C50,COMPLEX(0,0)),IMPRODUCT(COMPLEX(Ported!C$41,0),E50)))))</f>
        <v>-10.3506651075164+3.62575424950529i</v>
      </c>
      <c r="H50" s="32" t="str">
        <f>IMDIV(COMPLEX(Ported!C$18,0),IMPRODUCT(D50,IMSUM(COMPLEX(Ported!C$16-(2*PI()*B50)^2*Ported!C$15,0),IMPRODUCT(C50,IMSUM(COMPLEX(Ported!C$17,0),IMDIV(COMPLEX(Ported!C$18^2,0),D50))),IMPRODUCT(COMPLEX(Ported!C$14*Ported!C$41/Ported!C$24,0),G50))))</f>
        <v>-0.000121586905328557-0.000209358610596334i</v>
      </c>
      <c r="I50" s="27">
        <f t="shared" si="1"/>
        <v>-120.14626484716702</v>
      </c>
      <c r="J50" s="20" t="str">
        <f>IMPRODUCT(IMDIV(IMPRODUCT(COMPLEX(-Ported!C$41,0),F50),IMSUM(IMPRODUCT(COMPLEX(Ported!C$41,0),E50),COMPLEX(Calculations!C$3-(2*PI()*B50)^2*Ported!C$38,0),IMPRODUCT(COMPLEX(Calculations!C$4,0),C50))),H50)</f>
        <v>0.00302512184839625+0.00258815654190846i</v>
      </c>
      <c r="K50" s="27">
        <f t="shared" si="2"/>
        <v>40.548790328609186</v>
      </c>
      <c r="L50" s="40" t="str">
        <f>IMSUM(IMPRODUCT(COMPLEX(-(Ported!C$14/Ported!C$24),0),H50),IMDIV(IMPRODUCT(COMPLEX(-Ported!C$41,0),J50),IMSUM(COMPLEX(Ported!C$41,0),IMPRODUCT(COMPLEX(Ported!C$42,0),C50))),IMDIV(IMPRODUCT(COMPLEX(Ported!C$42*Ported!C$14/Ported!C$24,0),C50,H50),IMSUM(COMPLEX(Ported!C$41,0),IMPRODUCT(COMPLEX(Ported!C$42,0),C50))))</f>
        <v>-0.000301951596555986+0.000352930882312891i</v>
      </c>
      <c r="M50" s="28">
        <f t="shared" si="3"/>
        <v>130.5487903286095</v>
      </c>
      <c r="N50" s="39" t="str">
        <f>IMPRODUCT(COMPLEX((Ported!C$10*Ported!C$14)/(2*PI()),0),C50,C50,H50)</f>
        <v>0.012367255898445+0.0212949865348669i</v>
      </c>
      <c r="O50" s="28">
        <f t="shared" si="4"/>
        <v>59.853735152832947</v>
      </c>
      <c r="P50" s="26" t="str">
        <f>IMPRODUCT(COMPLEX((Ported!C$10*Ported!C$24)/(2*PI()),0),C50,C50,J50)</f>
        <v>-0.0530235377801906-0.0453645251524939i</v>
      </c>
      <c r="Q50" s="23">
        <f t="shared" si="5"/>
        <v>-139.45120967139084</v>
      </c>
      <c r="R50" s="41" t="str">
        <f>IMPRODUCT(COMPLEX((Ported!C$10*Ported!C$24)/(2*PI()),0),C50,C50,L50)</f>
        <v>0.00529252793445761-0.00618607940768881i</v>
      </c>
      <c r="S50" s="33">
        <f t="shared" si="6"/>
        <v>-49.45120967139048</v>
      </c>
      <c r="T50" s="38">
        <f>IMABS(IMDIV(D50,IMSUB(COMPLEX(1,0),IMPRODUCT(COMPLEX(Ported!C$18,0),IMPRODUCT(C50,H50)))))</f>
        <v>10.242080461191501</v>
      </c>
      <c r="U50" s="21">
        <f>20*LOG10(Ported!C$29*50000*IMABS(N50))</f>
        <v>91.634408297932595</v>
      </c>
      <c r="V50" s="22">
        <f>20*LOG10(Ported!C$29*50000*IMABS(P50))</f>
        <v>100.68142031862251</v>
      </c>
      <c r="W50" s="22">
        <f>20*LOG10(Ported!C$29*50000*IMABS(R50))</f>
        <v>82.020356111234705</v>
      </c>
      <c r="X50" s="28">
        <f>1000*Ported!C$29*IMABS(H50)</f>
        <v>7.5052276212286175</v>
      </c>
      <c r="Y50" s="28">
        <f>1000*Ported!C$29*IMABS(J50)</f>
        <v>123.41705611554771</v>
      </c>
      <c r="Z50" s="28">
        <f>Ported!C$29*IMABS(IMPRODUCT(C50,J50))</f>
        <v>18.99857972419391</v>
      </c>
      <c r="AA50" s="28">
        <f>1000*Ported!C$29*IMABS(L50)</f>
        <v>14.398656546813765</v>
      </c>
      <c r="AB50" s="41" t="str">
        <f t="shared" si="7"/>
        <v>-0.035363753947288-0.0302556180253158i</v>
      </c>
      <c r="AC50" s="28">
        <f>20*LOG10(Ported!C$29*50000*IMABS(AB50))</f>
        <v>97.163213504417243</v>
      </c>
      <c r="AD50" s="28">
        <f t="shared" si="8"/>
        <v>72137.431549784771</v>
      </c>
      <c r="AE50" s="23">
        <f t="shared" si="9"/>
        <v>-139.45120967139093</v>
      </c>
      <c r="AG50" s="64"/>
    </row>
    <row r="51" spans="2:33" s="8" customFormat="1" x14ac:dyDescent="0.25">
      <c r="B51" s="24">
        <v>25.1</v>
      </c>
      <c r="C51" s="17" t="str">
        <f t="shared" si="0"/>
        <v>157.707951210208i</v>
      </c>
      <c r="D51" s="18" t="str">
        <f>COMPLEX(Ported!C$19,2*PI()*B51*Ported!C$20)</f>
        <v>6</v>
      </c>
      <c r="E51" s="19" t="str">
        <f>IMSUB(COMPLEX(1,0),IMDIV(COMPLEX(Ported!C$41,0),IMSUM(COMPLEX(Ported!C$41,0),IMPRODUCT(C51,COMPLEX(Ported!C$42,0)))))</f>
        <v>0.971671825017493+0.165908678147551i</v>
      </c>
      <c r="F51" s="19" t="str">
        <f>IMDIV(IMPRODUCT(C51,COMPLEX((Ported!C$42*Ported!C$14/Ported!C$24),0)),IMSUM(COMPLEX(Ported!C$41,0),IMPRODUCT(C51,COMPLEX(Ported!C$42,0))))</f>
        <v>5.63871732652638+0.962786111529832i</v>
      </c>
      <c r="G51" s="30" t="str">
        <f>IMPRODUCT(F51,IMSUB(COMPLEX(1,0),IMDIV(IMPRODUCT(COMPLEX(Ported!C$41,0),E51),IMSUM(COMPLEX(0-(2*PI()*B51)^2*Ported!C$38,0),IMPRODUCT(C51,COMPLEX(0,0)),IMPRODUCT(COMPLEX(Ported!C$41,0),E51)))))</f>
        <v>-11.6861865723018+4.65609757448338i</v>
      </c>
      <c r="H51" s="32" t="str">
        <f>IMDIV(COMPLEX(Ported!C$18,0),IMPRODUCT(D51,IMSUM(COMPLEX(Ported!C$16-(2*PI()*B51)^2*Ported!C$15,0),IMPRODUCT(C51,IMSUM(COMPLEX(Ported!C$17,0),IMDIV(COMPLEX(Ported!C$18^2,0),D51))),IMPRODUCT(COMPLEX(Ported!C$14*Ported!C$41/Ported!C$24,0),G51))))</f>
        <v>-0.000115855454192922-0.000184365693904332i</v>
      </c>
      <c r="I51" s="27">
        <f t="shared" si="1"/>
        <v>-122.14526577371608</v>
      </c>
      <c r="J51" s="20" t="str">
        <f>IMPRODUCT(IMDIV(IMPRODUCT(COMPLEX(-Ported!C$41,0),F51),IMSUM(IMPRODUCT(COMPLEX(Ported!C$41,0),E51),COMPLEX(Calculations!C$3-(2*PI()*B51)^2*Ported!C$38,0),IMPRODUCT(COMPLEX(Calculations!C$4,0),C51))),H51)</f>
        <v>0.00316042571068846+0.00230724565882386i</v>
      </c>
      <c r="K51" s="27">
        <f t="shared" si="2"/>
        <v>36.131039413313431</v>
      </c>
      <c r="L51" s="40" t="str">
        <f>IMSUM(IMPRODUCT(COMPLEX(-(Ported!C$14/Ported!C$24),0),H51),IMDIV(IMPRODUCT(COMPLEX(-Ported!C$41,0),J51),IMSUM(COMPLEX(Ported!C$41,0),IMPRODUCT(COMPLEX(Ported!C$42,0),C51))),IMDIV(IMPRODUCT(COMPLEX(Ported!C$42*Ported!C$14/Ported!C$24,0),C51,H51),IMSUM(COMPLEX(Ported!C$41,0),IMPRODUCT(COMPLEX(Ported!C$42,0),C51))))</f>
        <v>-0.0002757707906499+0.000377746120658476i</v>
      </c>
      <c r="M51" s="28">
        <f t="shared" si="3"/>
        <v>126.13103941331359</v>
      </c>
      <c r="N51" s="39" t="str">
        <f>IMPRODUCT(COMPLEX((Ported!C$10*Ported!C$14)/(2*PI()),0),C51,C51,H51)</f>
        <v>0.0123685360923969+0.0196825756296145i</v>
      </c>
      <c r="O51" s="28">
        <f t="shared" si="4"/>
        <v>57.854734226283874</v>
      </c>
      <c r="P51" s="26" t="str">
        <f>IMPRODUCT(COMPLEX((Ported!C$10*Ported!C$24)/(2*PI()),0),C51,C51,J51)</f>
        <v>-0.0581415611981426-0.042445821212622i</v>
      </c>
      <c r="Q51" s="23">
        <f t="shared" si="5"/>
        <v>-143.8689605866866</v>
      </c>
      <c r="R51" s="41" t="str">
        <f>IMPRODUCT(COMPLEX((Ported!C$10*Ported!C$24)/(2*PI()),0),C51,C51,L51)</f>
        <v>0.00507328624969912-0.00694930088606368i</v>
      </c>
      <c r="S51" s="33">
        <f t="shared" si="6"/>
        <v>-53.868960586686406</v>
      </c>
      <c r="T51" s="38">
        <f>IMABS(IMDIV(D51,IMSUB(COMPLEX(1,0),IMPRODUCT(COMPLEX(Ported!C$18,0),IMPRODUCT(C51,H51)))))</f>
        <v>9.6007670533422349</v>
      </c>
      <c r="U51" s="21">
        <f>20*LOG10(Ported!C$29*50000*IMABS(N51))</f>
        <v>91.133662545505956</v>
      </c>
      <c r="V51" s="22">
        <f>20*LOG10(Ported!C$29*50000*IMABS(P51))</f>
        <v>100.95168253552174</v>
      </c>
      <c r="W51" s="22">
        <f>20*LOG10(Ported!C$29*50000*IMABS(R51))</f>
        <v>82.500771070464097</v>
      </c>
      <c r="X51" s="28">
        <f>1000*Ported!C$29*IMABS(H51)</f>
        <v>6.7501170905567403</v>
      </c>
      <c r="Y51" s="28">
        <f>1000*Ported!C$29*IMABS(J51)</f>
        <v>121.30341276331617</v>
      </c>
      <c r="Z51" s="28">
        <f>Ported!C$29*IMABS(IMPRODUCT(C51,J51))</f>
        <v>19.130512701708792</v>
      </c>
      <c r="AA51" s="28">
        <f>1000*Ported!C$29*IMABS(L51)</f>
        <v>14.498646001710613</v>
      </c>
      <c r="AB51" s="41" t="str">
        <f t="shared" si="7"/>
        <v>-0.0406997388560466-0.0297125464690712i</v>
      </c>
      <c r="AC51" s="28">
        <f>20*LOG10(Ported!C$29*50000*IMABS(AB51))</f>
        <v>97.853781205976816</v>
      </c>
      <c r="AD51" s="28">
        <f t="shared" si="8"/>
        <v>78106.838662863869</v>
      </c>
      <c r="AE51" s="23">
        <f t="shared" si="9"/>
        <v>-143.8689605866866</v>
      </c>
      <c r="AG51" s="64"/>
    </row>
    <row r="52" spans="2:33" s="8" customFormat="1" x14ac:dyDescent="0.25">
      <c r="B52" s="24">
        <v>25.7</v>
      </c>
      <c r="C52" s="17" t="str">
        <f t="shared" si="0"/>
        <v>161.477862394515i</v>
      </c>
      <c r="D52" s="18" t="str">
        <f>COMPLEX(Ported!C$19,2*PI()*B52*Ported!C$20)</f>
        <v>6</v>
      </c>
      <c r="E52" s="19" t="str">
        <f>IMSUB(COMPLEX(1,0),IMDIV(COMPLEX(Ported!C$41,0),IMSUM(COMPLEX(Ported!C$41,0),IMPRODUCT(C52,COMPLEX(Ported!C$42,0)))))</f>
        <v>0.972943731077522+0.162247425971794i</v>
      </c>
      <c r="F52" s="19" t="str">
        <f>IMDIV(IMPRODUCT(C52,COMPLEX((Ported!C$42*Ported!C$14/Ported!C$24),0)),IMSUM(COMPLEX(Ported!C$41,0),IMPRODUCT(C52,COMPLEX(Ported!C$42,0))))</f>
        <v>5.64609833578665+0.941539466779324i</v>
      </c>
      <c r="G52" s="30" t="str">
        <f>IMPRODUCT(F52,IMSUB(COMPLEX(1,0),IMDIV(IMPRODUCT(COMPLEX(Ported!C$41,0),E52),IMSUM(COMPLEX(0-(2*PI()*B52)^2*Ported!C$38,0),IMPRODUCT(C52,COMPLEX(0,0)),IMPRODUCT(COMPLEX(Ported!C$41,0),E52)))))</f>
        <v>-13.2095415793252+6.07463843302684i</v>
      </c>
      <c r="H52" s="32" t="str">
        <f>IMDIV(COMPLEX(Ported!C$18,0),IMPRODUCT(D52,IMSUM(COMPLEX(Ported!C$16-(2*PI()*B52)^2*Ported!C$15,0),IMPRODUCT(C52,IMSUM(COMPLEX(Ported!C$17,0),IMDIV(COMPLEX(Ported!C$18^2,0),D52))),IMPRODUCT(COMPLEX(Ported!C$14*Ported!C$41/Ported!C$24,0),G52))))</f>
        <v>-0.0001072415994428-0.00016125413157909i</v>
      </c>
      <c r="I52" s="27">
        <f t="shared" si="1"/>
        <v>-123.62577895801036</v>
      </c>
      <c r="J52" s="20" t="str">
        <f>IMPRODUCT(IMDIV(IMPRODUCT(COMPLEX(-Ported!C$41,0),F52),IMSUM(IMPRODUCT(COMPLEX(Ported!C$41,0),E52),COMPLEX(Calculations!C$3-(2*PI()*B52)^2*Ported!C$38,0),IMPRODUCT(COMPLEX(Calculations!C$4,0),C52))),H52)</f>
        <v>0.00326508443858794+0.00201483034247864i</v>
      </c>
      <c r="K52" s="27">
        <f t="shared" si="2"/>
        <v>31.678058505300314</v>
      </c>
      <c r="L52" s="40" t="str">
        <f>IMSUM(IMPRODUCT(COMPLEX(-(Ported!C$14/Ported!C$24),0),H52),IMDIV(IMPRODUCT(COMPLEX(-Ported!C$41,0),J52),IMSUM(COMPLEX(Ported!C$41,0),IMPRODUCT(COMPLEX(Ported!C$42,0),C52))),IMDIV(IMPRODUCT(COMPLEX(Ported!C$42*Ported!C$14/Ported!C$24,0),C52,H52),IMSUM(COMPLEX(Ported!C$41,0),IMPRODUCT(COMPLEX(Ported!C$42,0),C52))))</f>
        <v>-0.000246576856198579+0.000399584143198618i</v>
      </c>
      <c r="M52" s="28">
        <f t="shared" si="3"/>
        <v>121.67805850530064</v>
      </c>
      <c r="N52" s="39" t="str">
        <f>IMPRODUCT(COMPLEX((Ported!C$10*Ported!C$14)/(2*PI()),0),C52,C52,H52)</f>
        <v>0.0120028368481538+0.0180480992682965i</v>
      </c>
      <c r="O52" s="28">
        <f t="shared" si="4"/>
        <v>56.374221041989664</v>
      </c>
      <c r="P52" s="26" t="str">
        <f>IMPRODUCT(COMPLEX((Ported!C$10*Ported!C$24)/(2*PI()),0),C52,C52,J52)</f>
        <v>-0.062972991349338-0.0388596056591306i</v>
      </c>
      <c r="Q52" s="23">
        <f t="shared" si="5"/>
        <v>-148.32194149469967</v>
      </c>
      <c r="R52" s="41" t="str">
        <f>IMPRODUCT(COMPLEX((Ported!C$10*Ported!C$24)/(2*PI()),0),C52,C52,L52)</f>
        <v>0.0047556755497127-0.00770669465560943i</v>
      </c>
      <c r="S52" s="33">
        <f t="shared" si="6"/>
        <v>-58.321941494699303</v>
      </c>
      <c r="T52" s="38">
        <f>IMABS(IMDIV(D52,IMSUB(COMPLEX(1,0),IMPRODUCT(COMPLEX(Ported!C$18,0),IMPRODUCT(C52,H52)))))</f>
        <v>9.0828713396362186</v>
      </c>
      <c r="U52" s="21">
        <f>20*LOG10(Ported!C$29*50000*IMABS(N52))</f>
        <v>90.525782387699849</v>
      </c>
      <c r="V52" s="22">
        <f>20*LOG10(Ported!C$29*50000*IMABS(P52))</f>
        <v>101.19100392797726</v>
      </c>
      <c r="W52" s="22">
        <f>20*LOG10(Ported!C$29*50000*IMABS(R52))</f>
        <v>82.945280499924763</v>
      </c>
      <c r="X52" s="28">
        <f>1000*Ported!C$29*IMABS(H52)</f>
        <v>6.0034167799582052</v>
      </c>
      <c r="Y52" s="28">
        <f>1000*Ported!C$29*IMABS(J52)</f>
        <v>118.93790526900385</v>
      </c>
      <c r="Z52" s="28">
        <f>Ported!C$29*IMABS(IMPRODUCT(C52,J52))</f>
        <v>19.205838700520069</v>
      </c>
      <c r="AA52" s="28">
        <f>1000*Ported!C$29*IMABS(L52)</f>
        <v>14.555734121016192</v>
      </c>
      <c r="AB52" s="41" t="str">
        <f t="shared" si="7"/>
        <v>-0.0462144789514715-0.0285182010464435i</v>
      </c>
      <c r="AC52" s="28">
        <f>20*LOG10(Ported!C$29*50000*IMABS(AB52))</f>
        <v>98.503478672442554</v>
      </c>
      <c r="AD52" s="28">
        <f t="shared" si="8"/>
        <v>84173.218533417908</v>
      </c>
      <c r="AE52" s="23">
        <f t="shared" si="9"/>
        <v>-148.32194149469976</v>
      </c>
      <c r="AG52" s="64"/>
    </row>
    <row r="53" spans="2:33" s="8" customFormat="1" x14ac:dyDescent="0.25">
      <c r="B53" s="24">
        <v>26.3</v>
      </c>
      <c r="C53" s="17" t="str">
        <f t="shared" si="0"/>
        <v>165.247773578823i</v>
      </c>
      <c r="D53" s="18" t="str">
        <f>COMPLEX(Ported!C$19,2*PI()*B53*Ported!C$20)</f>
        <v>6</v>
      </c>
      <c r="E53" s="19" t="str">
        <f>IMSUB(COMPLEX(1,0),IMDIV(COMPLEX(Ported!C$41,0),IMSUM(COMPLEX(Ported!C$41,0),IMPRODUCT(C53,COMPLEX(Ported!C$42,0)))))</f>
        <v>0.974132586589011+0.158739693632104i</v>
      </c>
      <c r="F53" s="19" t="str">
        <f>IMDIV(IMPRODUCT(C53,COMPLEX((Ported!C$42*Ported!C$14/Ported!C$24),0)),IMSUM(COMPLEX(Ported!C$41,0),IMPRODUCT(C53,COMPLEX(Ported!C$42,0))))</f>
        <v>5.65299739367717+0.921183714341747i</v>
      </c>
      <c r="G53" s="30" t="str">
        <f>IMPRODUCT(F53,IMSUB(COMPLEX(1,0),IMDIV(IMPRODUCT(COMPLEX(Ported!C$41,0),E53),IMSUM(COMPLEX(0-(2*PI()*B53)^2*Ported!C$38,0),IMPRODUCT(C53,COMPLEX(0,0)),IMPRODUCT(COMPLEX(Ported!C$41,0),E53)))))</f>
        <v>-14.9052172007693+8.06505165475015i</v>
      </c>
      <c r="H53" s="32" t="str">
        <f>IMDIV(COMPLEX(Ported!C$18,0),IMPRODUCT(D53,IMSUM(COMPLEX(Ported!C$16-(2*PI()*B53)^2*Ported!C$15,0),IMPRODUCT(C53,IMSUM(COMPLEX(Ported!C$17,0),IMDIV(COMPLEX(Ported!C$18^2,0),D53))),IMPRODUCT(COMPLEX(Ported!C$14*Ported!C$41/Ported!C$24,0),G53))))</f>
        <v>-0.0000960877755945787-0.000140436681476748i</v>
      </c>
      <c r="I53" s="27">
        <f t="shared" si="1"/>
        <v>-124.38021129385706</v>
      </c>
      <c r="J53" s="20" t="str">
        <f>IMPRODUCT(IMDIV(IMPRODUCT(COMPLEX(-Ported!C$41,0),F53),IMSUM(IMPRODUCT(COMPLEX(Ported!C$41,0),E53),COMPLEX(Calculations!C$3-(2*PI()*B53)^2*Ported!C$38,0),IMPRODUCT(COMPLEX(Calculations!C$4,0),C53))),H53)</f>
        <v>0.00333726731674143+0.00171530270804158i</v>
      </c>
      <c r="K53" s="27">
        <f t="shared" si="2"/>
        <v>27.202448342887347</v>
      </c>
      <c r="L53" s="40" t="str">
        <f>IMSUM(IMPRODUCT(COMPLEX(-(Ported!C$14/Ported!C$24),0),H53),IMDIV(IMPRODUCT(COMPLEX(-Ported!C$41,0),J53),IMSUM(COMPLEX(Ported!C$41,0),IMPRODUCT(COMPLEX(Ported!C$42,0),C53))),IMDIV(IMPRODUCT(COMPLEX(Ported!C$42*Ported!C$14/Ported!C$24,0),C53,H53),IMSUM(COMPLEX(Ported!C$41,0),IMPRODUCT(COMPLEX(Ported!C$42,0),C53))))</f>
        <v>-0.000214821243911877+0.000417953002049045i</v>
      </c>
      <c r="M53" s="28">
        <f t="shared" si="3"/>
        <v>117.20244834288771</v>
      </c>
      <c r="N53" s="39" t="str">
        <f>IMPRODUCT(COMPLEX((Ported!C$10*Ported!C$14)/(2*PI()),0),C53,C53,H53)</f>
        <v>0.0112624794173435+0.0164606290944375i</v>
      </c>
      <c r="O53" s="28">
        <f t="shared" si="4"/>
        <v>55.619788706143012</v>
      </c>
      <c r="P53" s="26" t="str">
        <f>IMPRODUCT(COMPLEX((Ported!C$10*Ported!C$24)/(2*PI()),0),C53,C53,J53)</f>
        <v>-0.0674056269018148-0.0346454279469641i</v>
      </c>
      <c r="Q53" s="23">
        <f t="shared" si="5"/>
        <v>-152.79755165711262</v>
      </c>
      <c r="R53" s="41" t="str">
        <f>IMPRODUCT(COMPLEX((Ported!C$10*Ported!C$24)/(2*PI()),0),C53,C53,L53)</f>
        <v>0.00433892740478651-0.00844175232151298i</v>
      </c>
      <c r="S53" s="33">
        <f t="shared" si="6"/>
        <v>-62.797551657112287</v>
      </c>
      <c r="T53" s="38">
        <f>IMABS(IMDIV(D53,IMSUB(COMPLEX(1,0),IMPRODUCT(COMPLEX(Ported!C$18,0),IMPRODUCT(C53,H53)))))</f>
        <v>8.6673861593539243</v>
      </c>
      <c r="U53" s="21">
        <f>20*LOG10(Ported!C$29*50000*IMABS(N53))</f>
        <v>89.803235382745214</v>
      </c>
      <c r="V53" s="22">
        <f>20*LOG10(Ported!C$29*50000*IMABS(P53))</f>
        <v>101.3986453660351</v>
      </c>
      <c r="W53" s="22">
        <f>20*LOG10(Ported!C$29*50000*IMABS(R53))</f>
        <v>83.353374441151885</v>
      </c>
      <c r="X53" s="28">
        <f>1000*Ported!C$29*IMABS(H53)</f>
        <v>5.2750416643019964</v>
      </c>
      <c r="Y53" s="28">
        <f>1000*Ported!C$29*IMABS(J53)</f>
        <v>116.32072678239555</v>
      </c>
      <c r="Z53" s="28">
        <f>Ported!C$29*IMABS(IMPRODUCT(C53,J53))</f>
        <v>19.221741121861434</v>
      </c>
      <c r="AA53" s="28">
        <f>1000*Ported!C$29*IMABS(L53)</f>
        <v>14.56778625893813</v>
      </c>
      <c r="AB53" s="41" t="str">
        <f t="shared" si="7"/>
        <v>-0.0518042200796848-0.0266265511740396i</v>
      </c>
      <c r="AC53" s="28">
        <f>20*LOG10(Ported!C$29*50000*IMABS(AB53))</f>
        <v>99.112025116838936</v>
      </c>
      <c r="AD53" s="28">
        <f t="shared" si="8"/>
        <v>90282.017563218717</v>
      </c>
      <c r="AE53" s="23">
        <f t="shared" si="9"/>
        <v>-152.79755165711259</v>
      </c>
      <c r="AG53" s="64"/>
    </row>
    <row r="54" spans="2:33" s="8" customFormat="1" x14ac:dyDescent="0.25">
      <c r="B54" s="24">
        <v>26.9</v>
      </c>
      <c r="C54" s="17" t="str">
        <f t="shared" si="0"/>
        <v>169.017684763131i</v>
      </c>
      <c r="D54" s="18" t="str">
        <f>COMPLEX(Ported!C$19,2*PI()*B54*Ported!C$20)</f>
        <v>6</v>
      </c>
      <c r="E54" s="19" t="str">
        <f>IMSUB(COMPLEX(1,0),IMDIV(COMPLEX(Ported!C$41,0),IMSUM(COMPLEX(Ported!C$41,0),IMPRODUCT(C54,COMPLEX(Ported!C$42,0)))))</f>
        <v>0.975245407404209+0.155376326192917i</v>
      </c>
      <c r="F54" s="19" t="str">
        <f>IMDIV(IMPRODUCT(C54,COMPLEX((Ported!C$42*Ported!C$14/Ported!C$24),0)),IMSUM(COMPLEX(Ported!C$41,0),IMPRODUCT(C54,COMPLEX(Ported!C$42,0))))</f>
        <v>5.65945521395189+0.901665727129883i</v>
      </c>
      <c r="G54" s="30" t="str">
        <f>IMPRODUCT(F54,IMSUB(COMPLEX(1,0),IMDIV(IMPRODUCT(COMPLEX(Ported!C$41,0),E54),IMSUM(COMPLEX(0-(2*PI()*B54)^2*Ported!C$38,0),IMPRODUCT(C54,COMPLEX(0,0)),IMPRODUCT(COMPLEX(Ported!C$41,0),E54)))))</f>
        <v>-16.6807245076491+10.9022577224756i</v>
      </c>
      <c r="H54" s="32" t="str">
        <f>IMDIV(COMPLEX(Ported!C$18,0),IMPRODUCT(D54,IMSUM(COMPLEX(Ported!C$16-(2*PI()*B54)^2*Ported!C$15,0),IMPRODUCT(C54,IMSUM(COMPLEX(Ported!C$17,0),IMDIV(COMPLEX(Ported!C$18^2,0),D54))),IMPRODUCT(COMPLEX(Ported!C$14*Ported!C$41/Ported!C$24,0),G54))))</f>
        <v>-0.0000828173419926906-0.00012225778036273i</v>
      </c>
      <c r="I54" s="27">
        <f t="shared" si="1"/>
        <v>-124.11368761580894</v>
      </c>
      <c r="J54" s="20" t="str">
        <f>IMPRODUCT(IMDIV(IMPRODUCT(COMPLEX(-Ported!C$41,0),F54),IMSUM(IMPRODUCT(COMPLEX(Ported!C$41,0),E54),COMPLEX(Calculations!C$3-(2*PI()*B54)^2*Ported!C$38,0),IMPRODUCT(COMPLEX(Calculations!C$4,0),C54))),H54)</f>
        <v>0.00337599699658009+0.00141347840987187i</v>
      </c>
      <c r="K54" s="27">
        <f t="shared" si="2"/>
        <v>22.718316584225025</v>
      </c>
      <c r="L54" s="40" t="str">
        <f>IMSUM(IMPRODUCT(COMPLEX(-(Ported!C$14/Ported!C$24),0),H54),IMDIV(IMPRODUCT(COMPLEX(-Ported!C$41,0),J54),IMSUM(COMPLEX(Ported!C$41,0),IMPRODUCT(COMPLEX(Ported!C$42,0),C54))),IMDIV(IMPRODUCT(COMPLEX(Ported!C$42*Ported!C$14/Ported!C$24,0),C54,H54),IMSUM(COMPLEX(Ported!C$41,0),IMPRODUCT(COMPLEX(Ported!C$42,0),C54))))</f>
        <v>-0.000181059853455016+0.000432449139085732i</v>
      </c>
      <c r="M54" s="28">
        <f t="shared" si="3"/>
        <v>112.71831658422521</v>
      </c>
      <c r="N54" s="39" t="str">
        <f>IMPRODUCT(COMPLEX((Ported!C$10*Ported!C$14)/(2*PI()),0),C54,C54,H54)</f>
        <v>0.0101550068667413+0.0149911669370607i</v>
      </c>
      <c r="O54" s="28">
        <f t="shared" si="4"/>
        <v>55.886312384191044</v>
      </c>
      <c r="P54" s="26" t="str">
        <f>IMPRODUCT(COMPLEX((Ported!C$10*Ported!C$24)/(2*PI()),0),C54,C54,J54)</f>
        <v>-0.0713346067693291-0.0298667109737621i</v>
      </c>
      <c r="Q54" s="23">
        <f t="shared" si="5"/>
        <v>-157.28168341577495</v>
      </c>
      <c r="R54" s="41" t="str">
        <f>IMPRODUCT(COMPLEX((Ported!C$10*Ported!C$24)/(2*PI()),0),C54,C54,L54)</f>
        <v>0.00382578345330572-0.00913762343854733i</v>
      </c>
      <c r="S54" s="33">
        <f t="shared" si="6"/>
        <v>-67.281683415774808</v>
      </c>
      <c r="T54" s="38">
        <f>IMABS(IMDIV(D54,IMSUB(COMPLEX(1,0),IMPRODUCT(COMPLEX(Ported!C$18,0),IMPRODUCT(C54,H54)))))</f>
        <v>8.3384590498917799</v>
      </c>
      <c r="U54" s="21">
        <f>20*LOG10(Ported!C$29*50000*IMABS(N54))</f>
        <v>88.963508382005386</v>
      </c>
      <c r="V54" s="22">
        <f>20*LOG10(Ported!C$29*50000*IMABS(P54))</f>
        <v>101.57411532963991</v>
      </c>
      <c r="W54" s="22">
        <f>20*LOG10(Ported!C$29*50000*IMABS(R54))</f>
        <v>83.724775035009628</v>
      </c>
      <c r="X54" s="28">
        <f>1000*Ported!C$29*IMABS(H54)</f>
        <v>4.5776910764261416</v>
      </c>
      <c r="Y54" s="28">
        <f>1000*Ported!C$29*IMABS(J54)</f>
        <v>113.45863182492604</v>
      </c>
      <c r="Z54" s="28">
        <f>Ported!C$29*IMABS(IMPRODUCT(C54,J54))</f>
        <v>19.176515267441495</v>
      </c>
      <c r="AA54" s="28">
        <f>1000*Ported!C$29*IMABS(L54)</f>
        <v>14.533510457573767</v>
      </c>
      <c r="AB54" s="41" t="str">
        <f t="shared" si="7"/>
        <v>-0.0573538164492821-0.0240131674752487i</v>
      </c>
      <c r="AC54" s="28">
        <f>20*LOG10(Ported!C$29*50000*IMABS(AB54))</f>
        <v>99.679356340949681</v>
      </c>
      <c r="AD54" s="28">
        <f t="shared" si="8"/>
        <v>96375.760269713282</v>
      </c>
      <c r="AE54" s="23">
        <f t="shared" si="9"/>
        <v>-157.28168341577498</v>
      </c>
      <c r="AG54" s="64"/>
    </row>
    <row r="55" spans="2:33" s="8" customFormat="1" x14ac:dyDescent="0.25">
      <c r="B55" s="24">
        <v>27.5</v>
      </c>
      <c r="C55" s="17" t="str">
        <f t="shared" si="0"/>
        <v>172.787595947439i</v>
      </c>
      <c r="D55" s="18" t="str">
        <f>COMPLEX(Ported!C$19,2*PI()*B55*Ported!C$20)</f>
        <v>6</v>
      </c>
      <c r="E55" s="19" t="str">
        <f>IMSUB(COMPLEX(1,0),IMDIV(COMPLEX(Ported!C$41,0),IMSUM(COMPLEX(Ported!C$41,0),IMPRODUCT(C55,COMPLEX(Ported!C$42,0)))))</f>
        <v>0.976288490037873+0.152148855590318i</v>
      </c>
      <c r="F55" s="19" t="str">
        <f>IMDIV(IMPRODUCT(C55,COMPLEX((Ported!C$42*Ported!C$14/Ported!C$24),0)),IMSUM(COMPLEX(Ported!C$41,0),IMPRODUCT(C55,COMPLEX(Ported!C$42,0))))</f>
        <v>5.66550833597107+0.88293636404744i</v>
      </c>
      <c r="G55" s="30" t="str">
        <f>IMPRODUCT(F55,IMSUB(COMPLEX(1,0),IMDIV(IMPRODUCT(COMPLEX(Ported!C$41,0),E55),IMSUM(COMPLEX(0-(2*PI()*B55)^2*Ported!C$38,0),IMPRODUCT(C55,COMPLEX(0,0)),IMPRODUCT(COMPLEX(Ported!C$41,0),E55)))))</f>
        <v>-18.2570663019979+14.9685264090911i</v>
      </c>
      <c r="H55" s="32" t="str">
        <f>IMDIV(COMPLEX(Ported!C$18,0),IMPRODUCT(D55,IMSUM(COMPLEX(Ported!C$16-(2*PI()*B55)^2*Ported!C$15,0),IMPRODUCT(C55,IMSUM(COMPLEX(Ported!C$17,0),IMDIV(COMPLEX(Ported!C$18^2,0),D55))),IMPRODUCT(COMPLEX(Ported!C$14*Ported!C$41/Ported!C$24,0),G55))))</f>
        <v>-0.0000679174874960656-0.00010697297121487i</v>
      </c>
      <c r="I55" s="27">
        <f t="shared" si="1"/>
        <v>-122.41159686576934</v>
      </c>
      <c r="J55" s="20" t="str">
        <f>IMPRODUCT(IMDIV(IMPRODUCT(COMPLEX(-Ported!C$41,0),F55),IMSUM(IMPRODUCT(COMPLEX(Ported!C$41,0),E55),COMPLEX(Calculations!C$3-(2*PI()*B55)^2*Ported!C$38,0),IMPRODUCT(COMPLEX(Calculations!C$4,0),C55))),H55)</f>
        <v>0.00338126497226124+0.00111437901552511i</v>
      </c>
      <c r="K55" s="27">
        <f t="shared" si="2"/>
        <v>18.240906619941619</v>
      </c>
      <c r="L55" s="40" t="str">
        <f>IMSUM(IMPRODUCT(COMPLEX(-(Ported!C$14/Ported!C$24),0),H55),IMDIV(IMPRODUCT(COMPLEX(-Ported!C$41,0),J55),IMSUM(COMPLEX(Ported!C$41,0),IMPRODUCT(COMPLEX(Ported!C$42,0),C55))),IMDIV(IMPRODUCT(COMPLEX(Ported!C$42*Ported!C$14/Ported!C$24,0),C55,H55),IMSUM(COMPLEX(Ported!C$41,0),IMPRODUCT(COMPLEX(Ported!C$42,0),C55))))</f>
        <v>-0.000145930585366384+0.000442784698748493i</v>
      </c>
      <c r="M55" s="28">
        <f t="shared" si="3"/>
        <v>108.2409066199418</v>
      </c>
      <c r="N55" s="39" t="str">
        <f>IMPRODUCT(COMPLEX((Ported!C$10*Ported!C$14)/(2*PI()),0),C55,C55,H55)</f>
        <v>0.00870364908473459+0.0137086225850092i</v>
      </c>
      <c r="O55" s="28">
        <f t="shared" si="4"/>
        <v>57.588403134230695</v>
      </c>
      <c r="P55" s="26" t="str">
        <f>IMPRODUCT(COMPLEX((Ported!C$10*Ported!C$24)/(2*PI()),0),C55,C55,J55)</f>
        <v>-0.0746686420425501-0.0246088870563514i</v>
      </c>
      <c r="Q55" s="23">
        <f t="shared" si="5"/>
        <v>-161.75909338005835</v>
      </c>
      <c r="R55" s="41" t="str">
        <f>IMPRODUCT(COMPLEX((Ported!C$10*Ported!C$24)/(2*PI()),0),C55,C55,L55)</f>
        <v>0.00322259235261745-0.00977803645795293i</v>
      </c>
      <c r="S55" s="33">
        <f t="shared" si="6"/>
        <v>-71.759093380058218</v>
      </c>
      <c r="T55" s="38">
        <f>IMABS(IMDIV(D55,IMSUB(COMPLEX(1,0),IMPRODUCT(COMPLEX(Ported!C$18,0),IMPRODUCT(C55,H55)))))</f>
        <v>8.0840115215896926</v>
      </c>
      <c r="U55" s="21">
        <f>20*LOG10(Ported!C$29*50000*IMABS(N55))</f>
        <v>88.017403237655458</v>
      </c>
      <c r="V55" s="22">
        <f>20*LOG10(Ported!C$29*50000*IMABS(P55))</f>
        <v>101.71722380697076</v>
      </c>
      <c r="W55" s="22">
        <f>20*LOG10(Ported!C$29*50000*IMABS(R55))</f>
        <v>84.059491788897574</v>
      </c>
      <c r="X55" s="28">
        <f>1000*Ported!C$29*IMABS(H55)</f>
        <v>3.9280806525402867</v>
      </c>
      <c r="Y55" s="28">
        <f>1000*Ported!C$29*IMABS(J55)</f>
        <v>110.36519587338691</v>
      </c>
      <c r="Z55" s="28">
        <f>Ported!C$29*IMABS(IMPRODUCT(C55,J55))</f>
        <v>19.069736871230752</v>
      </c>
      <c r="AA55" s="28">
        <f>1000*Ported!C$29*IMABS(L55)</f>
        <v>14.45258517389583</v>
      </c>
      <c r="AB55" s="41" t="str">
        <f t="shared" si="7"/>
        <v>-0.0627424006051981-0.0206783009292951i</v>
      </c>
      <c r="AC55" s="28">
        <f>20*LOG10(Ported!C$29*50000*IMABS(AB55))</f>
        <v>100.20568137139472</v>
      </c>
      <c r="AD55" s="28">
        <f t="shared" si="8"/>
        <v>102396.25390447211</v>
      </c>
      <c r="AE55" s="23">
        <f t="shared" si="9"/>
        <v>-161.7590933800584</v>
      </c>
      <c r="AG55" s="64"/>
    </row>
    <row r="56" spans="2:33" s="8" customFormat="1" x14ac:dyDescent="0.25">
      <c r="B56" s="24">
        <v>28.2</v>
      </c>
      <c r="C56" s="17" t="str">
        <f t="shared" si="0"/>
        <v>177.185825662464i</v>
      </c>
      <c r="D56" s="18" t="str">
        <f>COMPLEX(Ported!C$19,2*PI()*B56*Ported!C$20)</f>
        <v>6</v>
      </c>
      <c r="E56" s="19" t="str">
        <f>IMSUB(COMPLEX(1,0),IMDIV(COMPLEX(Ported!C$41,0),IMSUM(COMPLEX(Ported!C$41,0),IMPRODUCT(C56,COMPLEX(Ported!C$42,0)))))</f>
        <v>0.977424802015513+0.148544802737921i</v>
      </c>
      <c r="F56" s="19" t="str">
        <f>IMDIV(IMPRODUCT(C56,COMPLEX((Ported!C$42*Ported!C$14/Ported!C$24),0)),IMSUM(COMPLEX(Ported!C$41,0),IMPRODUCT(C56,COMPLEX(Ported!C$42,0))))</f>
        <v>5.67210247801749+0.862021653194152i</v>
      </c>
      <c r="G56" s="30" t="str">
        <f>IMPRODUCT(F56,IMSUB(COMPLEX(1,0),IMDIV(IMPRODUCT(COMPLEX(Ported!C$41,0),E56),IMSUM(COMPLEX(0-(2*PI()*B56)^2*Ported!C$38,0),IMPRODUCT(C56,COMPLEX(0,0)),IMPRODUCT(COMPLEX(Ported!C$41,0),E56)))))</f>
        <v>-18.898837592897+21.802782691855i</v>
      </c>
      <c r="H56" s="32" t="str">
        <f>IMDIV(COMPLEX(Ported!C$18,0),IMPRODUCT(D56,IMSUM(COMPLEX(Ported!C$16-(2*PI()*B56)^2*Ported!C$15,0),IMPRODUCT(C56,IMSUM(COMPLEX(Ported!C$17,0),IMDIV(COMPLEX(Ported!C$18^2,0),D56))),IMPRODUCT(COMPLEX(Ported!C$14*Ported!C$41/Ported!C$24,0),G56))))</f>
        <v>-0.000049179922235213-0.0000929945211375425i</v>
      </c>
      <c r="I56" s="27">
        <f t="shared" si="1"/>
        <v>-117.87201386635186</v>
      </c>
      <c r="J56" s="20" t="str">
        <f>IMPRODUCT(IMDIV(IMPRODUCT(COMPLEX(-Ported!C$41,0),F56),IMSUM(IMPRODUCT(COMPLEX(Ported!C$41,0),E56),COMPLEX(Calculations!C$3-(2*PI()*B56)^2*Ported!C$38,0),IMPRODUCT(COMPLEX(Calculations!C$4,0),C56))),H56)</f>
        <v>0.00334651731445173+0.000775497051506307i</v>
      </c>
      <c r="K56" s="27">
        <f t="shared" si="2"/>
        <v>13.047010115963189</v>
      </c>
      <c r="L56" s="40" t="str">
        <f>IMSUM(IMPRODUCT(COMPLEX(-(Ported!C$14/Ported!C$24),0),H56),IMDIV(IMPRODUCT(COMPLEX(-Ported!C$41,0),J56),IMSUM(COMPLEX(Ported!C$41,0),IMPRODUCT(COMPLEX(Ported!C$42,0),C56))),IMDIV(IMPRODUCT(COMPLEX(Ported!C$42*Ported!C$14/Ported!C$24,0),C56,H56),IMSUM(COMPLEX(Ported!C$41,0),IMPRODUCT(COMPLEX(Ported!C$42,0),C56))))</f>
        <v>-0.000104138175487991+0.000449389467940662i</v>
      </c>
      <c r="M56" s="28">
        <f t="shared" si="3"/>
        <v>103.0470101159633</v>
      </c>
      <c r="N56" s="39" t="str">
        <f>IMPRODUCT(COMPLEX((Ported!C$10*Ported!C$14)/(2*PI()),0),C56,C56,H56)</f>
        <v>0.00662735795072736+0.0125316989337103i</v>
      </c>
      <c r="O56" s="28">
        <f t="shared" si="4"/>
        <v>62.127986133648072</v>
      </c>
      <c r="P56" s="26" t="str">
        <f>IMPRODUCT(COMPLEX((Ported!C$10*Ported!C$24)/(2*PI()),0),C56,C56,J56)</f>
        <v>-0.0777114393502839-0.0180082714122547i</v>
      </c>
      <c r="Q56" s="23">
        <f t="shared" si="5"/>
        <v>-166.95298988403678</v>
      </c>
      <c r="R56" s="41" t="str">
        <f>IMPRODUCT(COMPLEX((Ported!C$10*Ported!C$24)/(2*PI()),0),C56,C56,L56)</f>
        <v>0.00241825358964565-0.0104355361413239i</v>
      </c>
      <c r="S56" s="33">
        <f t="shared" si="6"/>
        <v>-76.952989884036768</v>
      </c>
      <c r="T56" s="38">
        <f>IMABS(IMDIV(D56,IMSUB(COMPLEX(1,0),IMPRODUCT(COMPLEX(Ported!C$18,0),IMPRODUCT(C56,H56)))))</f>
        <v>7.8690345158932775</v>
      </c>
      <c r="U56" s="21">
        <f>20*LOG10(Ported!C$29*50000*IMABS(N56))</f>
        <v>86.837845835217962</v>
      </c>
      <c r="V56" s="22">
        <f>20*LOG10(Ported!C$29*50000*IMABS(P56))</f>
        <v>101.8435027527517</v>
      </c>
      <c r="W56" s="22">
        <f>20*LOG10(Ported!C$29*50000*IMABS(R56))</f>
        <v>84.404099024460578</v>
      </c>
      <c r="X56" s="28">
        <f>1000*Ported!C$29*IMABS(H56)</f>
        <v>3.2611419058159061</v>
      </c>
      <c r="Y56" s="28">
        <f>1000*Ported!C$29*IMABS(J56)</f>
        <v>106.49108617213091</v>
      </c>
      <c r="Z56" s="28">
        <f>Ported!C$29*IMABS(IMPRODUCT(C56,J56))</f>
        <v>18.8687110291016</v>
      </c>
      <c r="AA56" s="28">
        <f>1000*Ported!C$29*IMABS(L56)</f>
        <v>14.30023157168619</v>
      </c>
      <c r="AB56" s="41" t="str">
        <f t="shared" si="7"/>
        <v>-0.0686658278099109-0.0159121086198683i</v>
      </c>
      <c r="AC56" s="28">
        <f>20*LOG10(Ported!C$29*50000*IMABS(AB56))</f>
        <v>100.76861689673964</v>
      </c>
      <c r="AD56" s="28">
        <f t="shared" si="8"/>
        <v>109252.36446272388</v>
      </c>
      <c r="AE56" s="23">
        <f t="shared" si="9"/>
        <v>-166.95298988403675</v>
      </c>
      <c r="AG56" s="64"/>
    </row>
    <row r="57" spans="2:33" s="8" customFormat="1" x14ac:dyDescent="0.25">
      <c r="B57" s="24">
        <v>28.8</v>
      </c>
      <c r="C57" s="17" t="str">
        <f t="shared" si="0"/>
        <v>180.955736846772i</v>
      </c>
      <c r="D57" s="18" t="str">
        <f>COMPLEX(Ported!C$19,2*PI()*B57*Ported!C$20)</f>
        <v>6</v>
      </c>
      <c r="E57" s="19" t="str">
        <f>IMSUB(COMPLEX(1,0),IMDIV(COMPLEX(Ported!C$41,0),IMSUM(COMPLEX(Ported!C$41,0),IMPRODUCT(C57,COMPLEX(Ported!C$42,0)))))</f>
        <v>0.978335470900204+0.145585635550626i</v>
      </c>
      <c r="F57" s="19" t="str">
        <f>IMDIV(IMPRODUCT(C57,COMPLEX((Ported!C$42*Ported!C$14/Ported!C$24),0)),IMSUM(COMPLEX(Ported!C$41,0),IMPRODUCT(C57,COMPLEX(Ported!C$42,0))))</f>
        <v>5.67738718864367+0.844849284024359i</v>
      </c>
      <c r="G57" s="30" t="str">
        <f>IMPRODUCT(F57,IMSUB(COMPLEX(1,0),IMDIV(IMPRODUCT(COMPLEX(Ported!C$41,0),E57),IMSUM(COMPLEX(0-(2*PI()*B57)^2*Ported!C$38,0),IMPRODUCT(C57,COMPLEX(0,0)),IMPRODUCT(COMPLEX(Ported!C$41,0),E57)))))</f>
        <v>-16.8022129372272+29.3916261292617i</v>
      </c>
      <c r="H57" s="32" t="str">
        <f>IMDIV(COMPLEX(Ported!C$18,0),IMPRODUCT(D57,IMSUM(COMPLEX(Ported!C$16-(2*PI()*B57)^2*Ported!C$15,0),IMPRODUCT(C57,IMSUM(COMPLEX(Ported!C$17,0),IMDIV(COMPLEX(Ported!C$18^2,0),D57))),IMPRODUCT(COMPLEX(Ported!C$14*Ported!C$41/Ported!C$24,0),G57))))</f>
        <v>-0.0000325759118971585-0.0000843514329025015i</v>
      </c>
      <c r="I57" s="27">
        <f t="shared" si="1"/>
        <v>-111.11619936225821</v>
      </c>
      <c r="J57" s="20" t="str">
        <f>IMPRODUCT(IMDIV(IMPRODUCT(COMPLEX(-Ported!C$41,0),F57),IMSUM(IMPRODUCT(COMPLEX(Ported!C$41,0),E57),COMPLEX(Calculations!C$3-(2*PI()*B57)^2*Ported!C$38,0),IMPRODUCT(COMPLEX(Calculations!C$4,0),C57))),H57)</f>
        <v>0.00328404208730278+0.000498949342325328i</v>
      </c>
      <c r="K57" s="27">
        <f t="shared" si="2"/>
        <v>8.6389647377875356</v>
      </c>
      <c r="L57" s="40" t="str">
        <f>IMSUM(IMPRODUCT(COMPLEX(-(Ported!C$14/Ported!C$24),0),H57),IMDIV(IMPRODUCT(COMPLEX(-Ported!C$41,0),J57),IMSUM(COMPLEX(Ported!C$41,0),IMPRODUCT(COMPLEX(Ported!C$42,0),C57))),IMDIV(IMPRODUCT(COMPLEX(Ported!C$42*Ported!C$14/Ported!C$24,0),C57,H57),IMSUM(COMPLEX(Ported!C$41,0),IMPRODUCT(COMPLEX(Ported!C$42,0),C57))))</f>
        <v>-0.000068427338376047+0.000450382914830098i</v>
      </c>
      <c r="M57" s="28">
        <f t="shared" si="3"/>
        <v>98.638964737787731</v>
      </c>
      <c r="N57" s="39" t="str">
        <f>IMPRODUCT(COMPLEX((Ported!C$10*Ported!C$14)/(2*PI()),0),C57,C57,H57)</f>
        <v>0.00457863402062238+0.0118558259119472i</v>
      </c>
      <c r="O57" s="28">
        <f t="shared" si="4"/>
        <v>68.883800637741857</v>
      </c>
      <c r="P57" s="26" t="str">
        <f>IMPRODUCT(COMPLEX((Ported!C$10*Ported!C$24)/(2*PI()),0),C57,C57,J57)</f>
        <v>-0.0795403229066909-0.0120846781946186i</v>
      </c>
      <c r="Q57" s="23">
        <f t="shared" si="5"/>
        <v>-171.36103526221245</v>
      </c>
      <c r="R57" s="41" t="str">
        <f>IMPRODUCT(COMPLEX((Ported!C$10*Ported!C$24)/(2*PI()),0),C57,C57,L57)</f>
        <v>0.00165732729526203-0.0109083871414891i</v>
      </c>
      <c r="S57" s="33">
        <f t="shared" si="6"/>
        <v>-81.361035262212255</v>
      </c>
      <c r="T57" s="38">
        <f>IMABS(IMDIV(D57,IMSUB(COMPLEX(1,0),IMPRODUCT(COMPLEX(Ported!C$18,0),IMPRODUCT(C57,H57)))))</f>
        <v>7.746917600865439</v>
      </c>
      <c r="U57" s="21">
        <f>20*LOG10(Ported!C$29*50000*IMABS(N57))</f>
        <v>85.889017951043328</v>
      </c>
      <c r="V57" s="22">
        <f>20*LOG10(Ported!C$29*50000*IMABS(P57))</f>
        <v>101.91749036971792</v>
      </c>
      <c r="W57" s="22">
        <f>20*LOG10(Ported!C$29*50000*IMABS(R57))</f>
        <v>84.66095423022422</v>
      </c>
      <c r="X57" s="28">
        <f>1000*Ported!C$29*IMABS(H57)</f>
        <v>2.803119057792554</v>
      </c>
      <c r="Y57" s="28">
        <f>1000*Ported!C$29*IMABS(J57)</f>
        <v>102.97359586401238</v>
      </c>
      <c r="Z57" s="28">
        <f>Ported!C$29*IMABS(IMPRODUCT(C57,J57))</f>
        <v>18.633662915334082</v>
      </c>
      <c r="AA57" s="28">
        <f>1000*Ported!C$29*IMABS(L57)</f>
        <v>14.122093147064637</v>
      </c>
      <c r="AB57" s="41" t="str">
        <f t="shared" si="7"/>
        <v>-0.0733043615908065-0.0111372394241605i</v>
      </c>
      <c r="AC57" s="28">
        <f>20*LOG10(Ported!C$29*50000*IMABS(AB57))</f>
        <v>101.20833969130068</v>
      </c>
      <c r="AD57" s="28">
        <f t="shared" si="8"/>
        <v>114925.65419161142</v>
      </c>
      <c r="AE57" s="23">
        <f t="shared" si="9"/>
        <v>-171.36103526221248</v>
      </c>
      <c r="AG57" s="64"/>
    </row>
    <row r="58" spans="2:33" s="8" customFormat="1" x14ac:dyDescent="0.25">
      <c r="B58" s="24">
        <v>29.5</v>
      </c>
      <c r="C58" s="17" t="str">
        <f t="shared" si="0"/>
        <v>185.353966561798i</v>
      </c>
      <c r="D58" s="18" t="str">
        <f>COMPLEX(Ported!C$19,2*PI()*B58*Ported!C$20)</f>
        <v>6</v>
      </c>
      <c r="E58" s="19" t="str">
        <f>IMSUB(COMPLEX(1,0),IMDIV(COMPLEX(Ported!C$41,0),IMSUM(COMPLEX(Ported!C$41,0),IMPRODUCT(C58,COMPLEX(Ported!C$42,0)))))</f>
        <v>0.979330420453697+0.142275605877051i</v>
      </c>
      <c r="F58" s="19" t="str">
        <f>IMDIV(IMPRODUCT(C58,COMPLEX((Ported!C$42*Ported!C$14/Ported!C$24),0)),IMSUM(COMPLEX(Ported!C$41,0),IMPRODUCT(C58,COMPLEX(Ported!C$42,0))))</f>
        <v>5.68316098916136+0.825640821669932i</v>
      </c>
      <c r="G58" s="30" t="str">
        <f>IMPRODUCT(F58,IMSUB(COMPLEX(1,0),IMDIV(IMPRODUCT(COMPLEX(Ported!C$41,0),E58),IMSUM(COMPLEX(0-(2*PI()*B58)^2*Ported!C$38,0),IMPRODUCT(C58,COMPLEX(0,0)),IMPRODUCT(COMPLEX(Ported!C$41,0),E58)))))</f>
        <v>-8.90627374853457+37.848990479965i</v>
      </c>
      <c r="H58" s="32" t="str">
        <f>IMDIV(COMPLEX(Ported!C$18,0),IMPRODUCT(D58,IMSUM(COMPLEX(Ported!C$16-(2*PI()*B58)^2*Ported!C$15,0),IMPRODUCT(C58,IMSUM(COMPLEX(Ported!C$17,0),IMDIV(COMPLEX(Ported!C$18^2,0),D58))),IMPRODUCT(COMPLEX(Ported!C$14*Ported!C$41/Ported!C$24,0),G58))))</f>
        <v>-0.0000133004581485769-0.0000780396122268284i</v>
      </c>
      <c r="I58" s="27">
        <f t="shared" si="1"/>
        <v>-99.67210795819534</v>
      </c>
      <c r="J58" s="20" t="str">
        <f>IMPRODUCT(IMDIV(IMPRODUCT(COMPLEX(-Ported!C$41,0),F58),IMSUM(IMPRODUCT(COMPLEX(Ported!C$41,0),E58),COMPLEX(Calculations!C$3-(2*PI()*B58)^2*Ported!C$38,0),IMPRODUCT(COMPLEX(Calculations!C$4,0),C58))),H58)</f>
        <v>0.00317720224686814+0.00019818432897359i</v>
      </c>
      <c r="K58" s="27">
        <f t="shared" si="2"/>
        <v>3.5693140822524723</v>
      </c>
      <c r="L58" s="40" t="str">
        <f>IMSUM(IMPRODUCT(COMPLEX(-(Ported!C$14/Ported!C$24),0),H58),IMDIV(IMPRODUCT(COMPLEX(-Ported!C$41,0),J58),IMSUM(COMPLEX(Ported!C$41,0),IMPRODUCT(COMPLEX(Ported!C$42,0),C58))),IMDIV(IMPRODUCT(COMPLEX(Ported!C$42*Ported!C$14/Ported!C$24,0),C58,H58),IMSUM(COMPLEX(Ported!C$41,0),IMPRODUCT(COMPLEX(Ported!C$42,0),C58))))</f>
        <v>-0.0000278401795462901+0.000446321268012428i</v>
      </c>
      <c r="M58" s="28">
        <f t="shared" si="3"/>
        <v>93.56931408225249</v>
      </c>
      <c r="N58" s="39" t="str">
        <f>IMPRODUCT(COMPLEX((Ported!C$10*Ported!C$14)/(2*PI()),0),C58,C58,H58)</f>
        <v>0.00196139474110921+0.0115083618406243i</v>
      </c>
      <c r="O58" s="28">
        <f t="shared" si="4"/>
        <v>80.327892041804645</v>
      </c>
      <c r="P58" s="26" t="str">
        <f>IMPRODUCT(COMPLEX((Ported!C$10*Ported!C$24)/(2*PI()),0),C58,C58,J58)</f>
        <v>-0.0807388488188135-0.00503624677687091i</v>
      </c>
      <c r="Q58" s="23">
        <f t="shared" si="5"/>
        <v>-176.43068591774752</v>
      </c>
      <c r="R58" s="41" t="str">
        <f>IMPRODUCT(COMPLEX((Ported!C$10*Ported!C$24)/(2*PI()),0),C58,C58,L58)</f>
        <v>0.00070747276151282-0.0113418859055i</v>
      </c>
      <c r="S58" s="33">
        <f t="shared" si="6"/>
        <v>-86.430685917747525</v>
      </c>
      <c r="T58" s="38">
        <f>IMABS(IMDIV(D58,IMSUB(COMPLEX(1,0),IMPRODUCT(COMPLEX(Ported!C$18,0),IMPRODUCT(C58,H58)))))</f>
        <v>7.6694768995364457</v>
      </c>
      <c r="U58" s="21">
        <f>20*LOG10(Ported!C$29*50000*IMABS(N58))</f>
        <v>85.151256721874148</v>
      </c>
      <c r="V58" s="22">
        <f>20*LOG10(Ported!C$29*50000*IMABS(P58))</f>
        <v>101.96515015116965</v>
      </c>
      <c r="W58" s="22">
        <f>20*LOG10(Ported!C$29*50000*IMABS(R58))</f>
        <v>84.91720457605453</v>
      </c>
      <c r="X58" s="28">
        <f>1000*Ported!C$29*IMABS(H58)</f>
        <v>2.4541122664214514</v>
      </c>
      <c r="Y58" s="28">
        <f>1000*Ported!C$29*IMABS(J58)</f>
        <v>98.684696843382142</v>
      </c>
      <c r="Z58" s="28">
        <f>Ported!C$29*IMABS(IMPRODUCT(C58,J58))</f>
        <v>18.291599998869433</v>
      </c>
      <c r="AA58" s="28">
        <f>1000*Ported!C$29*IMABS(L58)</f>
        <v>13.862850270856027</v>
      </c>
      <c r="AB58" s="41" t="str">
        <f t="shared" si="7"/>
        <v>-0.0780699813161915-0.00486977084174661i</v>
      </c>
      <c r="AC58" s="28">
        <f>20*LOG10(Ported!C$29*50000*IMABS(AB58))</f>
        <v>101.67318060150967</v>
      </c>
      <c r="AD58" s="28">
        <f t="shared" si="8"/>
        <v>121243.65778652014</v>
      </c>
      <c r="AE58" s="23">
        <f t="shared" si="9"/>
        <v>-176.43068591774747</v>
      </c>
      <c r="AG58" s="64"/>
    </row>
    <row r="59" spans="2:33" s="8" customFormat="1" x14ac:dyDescent="0.25">
      <c r="B59" s="24">
        <v>30.2</v>
      </c>
      <c r="C59" s="17" t="str">
        <f t="shared" si="0"/>
        <v>189.752196276823i</v>
      </c>
      <c r="D59" s="18" t="str">
        <f>COMPLEX(Ported!C$19,2*PI()*B59*Ported!C$20)</f>
        <v>6</v>
      </c>
      <c r="E59" s="19" t="str">
        <f>IMSUB(COMPLEX(1,0),IMDIV(COMPLEX(Ported!C$41,0),IMSUM(COMPLEX(Ported!C$41,0),IMPRODUCT(C59,COMPLEX(Ported!C$42,0)))))</f>
        <v>0.980258811369872+0.139109575880304i</v>
      </c>
      <c r="F59" s="19" t="str">
        <f>IMDIV(IMPRODUCT(C59,COMPLEX((Ported!C$42*Ported!C$14/Ported!C$24),0)),IMSUM(COMPLEX(Ported!C$41,0),IMPRODUCT(C59,COMPLEX(Ported!C$42,0))))</f>
        <v>5.68854854266454+0.807268005108501i</v>
      </c>
      <c r="G59" s="30" t="str">
        <f>IMPRODUCT(F59,IMSUB(COMPLEX(1,0),IMDIV(IMPRODUCT(COMPLEX(Ported!C$41,0),E59),IMSUM(COMPLEX(0-(2*PI()*B59)^2*Ported!C$38,0),IMPRODUCT(C59,COMPLEX(0,0)),IMPRODUCT(COMPLEX(Ported!C$41,0),E59)))))</f>
        <v>3.77136671627859+40.5417447193625i</v>
      </c>
      <c r="H59" s="32" t="str">
        <f>IMDIV(COMPLEX(Ported!C$18,0),IMPRODUCT(D59,IMSUM(COMPLEX(Ported!C$16-(2*PI()*B59)^2*Ported!C$15,0),IMPRODUCT(C59,IMSUM(COMPLEX(Ported!C$17,0),IMDIV(COMPLEX(Ported!C$18^2,0),D59))),IMPRODUCT(COMPLEX(Ported!C$14*Ported!C$41/Ported!C$24,0),G59))))</f>
        <v>5.16621450494278E-06-0.000075492004807638i</v>
      </c>
      <c r="I59" s="27">
        <f t="shared" si="1"/>
        <v>-86.08512845221442</v>
      </c>
      <c r="J59" s="20" t="str">
        <f>IMPRODUCT(IMDIV(IMPRODUCT(COMPLEX(-Ported!C$41,0),F59),IMSUM(IMPRODUCT(COMPLEX(Ported!C$41,0),E59),COMPLEX(Calculations!C$3-(2*PI()*B59)^2*Ported!C$38,0),IMPRODUCT(COMPLEX(Calculations!C$4,0),C59))),H59)</f>
        <v>0.00303940084758073-0.000074267155153973i</v>
      </c>
      <c r="K59" s="27">
        <f t="shared" si="2"/>
        <v>-1.3997324457172098</v>
      </c>
      <c r="L59" s="40" t="str">
        <f>IMSUM(IMPRODUCT(COMPLEX(-(Ported!C$14/Ported!C$24),0),H59),IMDIV(IMPRODUCT(COMPLEX(-Ported!C$41,0),J59),IMSUM(COMPLEX(Ported!C$41,0),IMPRODUCT(COMPLEX(Ported!C$42,0),C59))),IMDIV(IMPRODUCT(COMPLEX(Ported!C$42*Ported!C$14/Ported!C$24,0),C59,H59),IMSUM(COMPLEX(Ported!C$41,0),IMPRODUCT(COMPLEX(Ported!C$42,0),C59))))</f>
        <v>0.0000106803242173806+0.00043709478855685i</v>
      </c>
      <c r="M59" s="28">
        <f t="shared" si="3"/>
        <v>88.600267554282837</v>
      </c>
      <c r="N59" s="39" t="str">
        <f>IMPRODUCT(COMPLEX((Ported!C$10*Ported!C$14)/(2*PI()),0),C59,C59,H59)</f>
        <v>-0.00079843707312301+0.0116672691978101i</v>
      </c>
      <c r="O59" s="28">
        <f t="shared" si="4"/>
        <v>93.91487154778558</v>
      </c>
      <c r="P59" s="26" t="str">
        <f>IMPRODUCT(COMPLEX((Ported!C$10*Ported!C$24)/(2*PI()),0),C59,C59,J59)</f>
        <v>-0.0809460248706059+0.0019779000170207i</v>
      </c>
      <c r="Q59" s="23">
        <f t="shared" si="5"/>
        <v>178.60026755428279</v>
      </c>
      <c r="R59" s="41" t="str">
        <f>IMPRODUCT(COMPLEX((Ported!C$10*Ported!C$24)/(2*PI()),0),C59,C59,L59)</f>
        <v>-0.000284440859590588-0.0116408092909158i</v>
      </c>
      <c r="S59" s="33">
        <f t="shared" si="6"/>
        <v>-91.399732445717149</v>
      </c>
      <c r="T59" s="38">
        <f>IMABS(IMDIV(D59,IMSUB(COMPLEX(1,0),IMPRODUCT(COMPLEX(Ported!C$18,0),IMPRODUCT(C59,H59)))))</f>
        <v>7.6560624838526889</v>
      </c>
      <c r="U59" s="21">
        <f>20*LOG10(Ported!C$29*50000*IMABS(N59))</f>
        <v>85.166309745075409</v>
      </c>
      <c r="V59" s="22">
        <f>20*LOG10(Ported!C$29*50000*IMABS(P59))</f>
        <v>101.97313670826733</v>
      </c>
      <c r="W59" s="22">
        <f>20*LOG10(Ported!C$29*50000*IMABS(R59))</f>
        <v>85.128889672732043</v>
      </c>
      <c r="X59" s="28">
        <f>1000*Ported!C$29*IMABS(H59)</f>
        <v>2.3457256856380728</v>
      </c>
      <c r="Y59" s="28">
        <f>1000*Ported!C$29*IMABS(J59)</f>
        <v>94.249549976789638</v>
      </c>
      <c r="Z59" s="28">
        <f>Ported!C$29*IMABS(IMPRODUCT(C59,J59))</f>
        <v>17.884059106198031</v>
      </c>
      <c r="AA59" s="28">
        <f>1000*Ported!C$29*IMABS(L59)</f>
        <v>13.553982901424101</v>
      </c>
      <c r="AB59" s="41" t="str">
        <f t="shared" si="7"/>
        <v>-0.0820289028033195+0.002004359923915i</v>
      </c>
      <c r="AC59" s="28">
        <f>20*LOG10(Ported!C$29*50000*IMABS(AB59))</f>
        <v>102.08856423776687</v>
      </c>
      <c r="AD59" s="28">
        <f t="shared" si="8"/>
        <v>127182.75018670991</v>
      </c>
      <c r="AE59" s="23">
        <f t="shared" si="9"/>
        <v>178.60026755428285</v>
      </c>
      <c r="AG59" s="64"/>
    </row>
    <row r="60" spans="2:33" s="8" customFormat="1" x14ac:dyDescent="0.25">
      <c r="B60" s="24">
        <v>30.9</v>
      </c>
      <c r="C60" s="17" t="str">
        <f t="shared" si="0"/>
        <v>194.150425991849i</v>
      </c>
      <c r="D60" s="18" t="str">
        <f>COMPLEX(Ported!C$19,2*PI()*B60*Ported!C$20)</f>
        <v>6</v>
      </c>
      <c r="E60" s="19" t="str">
        <f>IMSUB(COMPLEX(1,0),IMDIV(COMPLEX(Ported!C$41,0),IMSUM(COMPLEX(Ported!C$41,0),IMPRODUCT(C60,COMPLEX(Ported!C$42,0)))))</f>
        <v>0.981126413395717+0.136078559416882i</v>
      </c>
      <c r="F60" s="19" t="str">
        <f>IMDIV(IMPRODUCT(C60,COMPLEX((Ported!C$42*Ported!C$14/Ported!C$24),0)),IMSUM(COMPLEX(Ported!C$41,0),IMPRODUCT(C60,COMPLEX(Ported!C$42,0))))</f>
        <v>5.69358333162281+0.789678686771544i</v>
      </c>
      <c r="G60" s="30" t="str">
        <f>IMPRODUCT(F60,IMSUB(COMPLEX(1,0),IMDIV(IMPRODUCT(COMPLEX(Ported!C$41,0),E60),IMSUM(COMPLEX(0-(2*PI()*B60)^2*Ported!C$38,0),IMPRODUCT(C60,COMPLEX(0,0)),IMPRODUCT(COMPLEX(Ported!C$41,0),E60)))))</f>
        <v>14.7844819294793+35.7213614528816i</v>
      </c>
      <c r="H60" s="32" t="str">
        <f>IMDIV(COMPLEX(Ported!C$18,0),IMPRODUCT(D60,IMSUM(COMPLEX(Ported!C$16-(2*PI()*B60)^2*Ported!C$15,0),IMPRODUCT(C60,IMSUM(COMPLEX(Ported!C$17,0),IMDIV(COMPLEX(Ported!C$18^2,0),D60))),IMPRODUCT(COMPLEX(Ported!C$14*Ported!C$41/Ported!C$24,0),G60))))</f>
        <v>0.0000222076184648461-0.0000762596510185672i</v>
      </c>
      <c r="I60" s="27">
        <f t="shared" si="1"/>
        <v>-73.763880474428333</v>
      </c>
      <c r="J60" s="20" t="str">
        <f>IMPRODUCT(IMDIV(IMPRODUCT(COMPLEX(-Ported!C$41,0),F60),IMSUM(IMPRODUCT(COMPLEX(Ported!C$41,0),E60),COMPLEX(Calculations!C$3-(2*PI()*B60)^2*Ported!C$38,0),IMPRODUCT(COMPLEX(Calculations!C$4,0),C60))),H60)</f>
        <v>0.00287720491299381-0.000314990165182346i</v>
      </c>
      <c r="K60" s="27">
        <f t="shared" si="2"/>
        <v>-6.2477366509032812</v>
      </c>
      <c r="L60" s="40" t="str">
        <f>IMSUM(IMPRODUCT(COMPLEX(-(Ported!C$14/Ported!C$24),0),H60),IMDIV(IMPRODUCT(COMPLEX(-Ported!C$41,0),J60),IMSUM(COMPLEX(Ported!C$41,0),IMPRODUCT(COMPLEX(Ported!C$42,0),C60))),IMDIV(IMPRODUCT(COMPLEX(Ported!C$42*Ported!C$14/Ported!C$24,0),C60,H60),IMSUM(COMPLEX(Ported!C$41,0),IMPRODUCT(COMPLEX(Ported!C$42,0),C60))))</f>
        <v>0.0000463485528768312+0.000423360151483376i</v>
      </c>
      <c r="M60" s="28">
        <f t="shared" si="3"/>
        <v>83.752263349096694</v>
      </c>
      <c r="N60" s="39" t="str">
        <f>IMPRODUCT(COMPLEX((Ported!C$10*Ported!C$14)/(2*PI()),0),C60,C60,H60)</f>
        <v>-0.0035931332236101+0.0123386074076099i</v>
      </c>
      <c r="O60" s="28">
        <f t="shared" si="4"/>
        <v>106.23611952557172</v>
      </c>
      <c r="P60" s="26" t="str">
        <f>IMPRODUCT(COMPLEX((Ported!C$10*Ported!C$24)/(2*PI()),0),C60,C60,J60)</f>
        <v>-0.0802197699154462+0.00878228674726671i</v>
      </c>
      <c r="Q60" s="23">
        <f t="shared" si="5"/>
        <v>173.75226334909672</v>
      </c>
      <c r="R60" s="41" t="str">
        <f>IMPRODUCT(COMPLEX((Ported!C$10*Ported!C$24)/(2*PI()),0),C60,C60,L60)</f>
        <v>-0.00129225076424068-0.0118037661447014i</v>
      </c>
      <c r="S60" s="33">
        <f t="shared" si="6"/>
        <v>-96.247736650903292</v>
      </c>
      <c r="T60" s="38">
        <f>IMABS(IMDIV(D60,IMSUB(COMPLEX(1,0),IMPRODUCT(COMPLEX(Ported!C$18,0),IMPRODUCT(C60,H60)))))</f>
        <v>7.7020571472110442</v>
      </c>
      <c r="U60" s="21">
        <f>20*LOG10(Ported!C$29*50000*IMABS(N60))</f>
        <v>85.985468106742502</v>
      </c>
      <c r="V60" s="22">
        <f>20*LOG10(Ported!C$29*50000*IMABS(P60))</f>
        <v>101.9440046576444</v>
      </c>
      <c r="W60" s="22">
        <f>20*LOG10(Ported!C$29*50000*IMABS(R60))</f>
        <v>85.298788351462747</v>
      </c>
      <c r="X60" s="28">
        <f>1000*Ported!C$29*IMABS(H60)</f>
        <v>2.4622495601362244</v>
      </c>
      <c r="Y60" s="28">
        <f>1000*Ported!C$29*IMABS(J60)</f>
        <v>89.726269095578374</v>
      </c>
      <c r="Z60" s="28">
        <f>Ported!C$29*IMABS(IMPRODUCT(C60,J60))</f>
        <v>17.420393367565815</v>
      </c>
      <c r="AA60" s="28">
        <f>1000*Ported!C$29*IMABS(L60)</f>
        <v>13.202579595492281</v>
      </c>
      <c r="AB60" s="41" t="str">
        <f t="shared" si="7"/>
        <v>-0.085105153903297+0.00931712801017521i</v>
      </c>
      <c r="AC60" s="28">
        <f>20*LOG10(Ported!C$29*50000*IMABS(AB60))</f>
        <v>102.4574936458513</v>
      </c>
      <c r="AD60" s="28">
        <f t="shared" si="8"/>
        <v>132701.14870967253</v>
      </c>
      <c r="AE60" s="23">
        <f t="shared" si="9"/>
        <v>173.75226334909675</v>
      </c>
      <c r="AG60" s="64"/>
    </row>
    <row r="61" spans="2:33" s="8" customFormat="1" x14ac:dyDescent="0.25">
      <c r="B61" s="24">
        <v>31.6</v>
      </c>
      <c r="C61" s="17" t="str">
        <f t="shared" si="0"/>
        <v>198.548655706875i</v>
      </c>
      <c r="D61" s="18" t="str">
        <f>COMPLEX(Ported!C$19,2*PI()*B61*Ported!C$20)</f>
        <v>6</v>
      </c>
      <c r="E61" s="19" t="str">
        <f>IMSUB(COMPLEX(1,0),IMDIV(COMPLEX(Ported!C$41,0),IMSUM(COMPLEX(Ported!C$41,0),IMPRODUCT(C61,COMPLEX(Ported!C$42,0)))))</f>
        <v>0.98193838822993+0.133174284117984i</v>
      </c>
      <c r="F61" s="19" t="str">
        <f>IMDIV(IMPRODUCT(C61,COMPLEX((Ported!C$42*Ported!C$14/Ported!C$24),0)),IMSUM(COMPLEX(Ported!C$41,0),IMPRODUCT(C61,COMPLEX(Ported!C$42,0))))</f>
        <v>5.69829530993536+0.772824861202808i</v>
      </c>
      <c r="G61" s="30" t="str">
        <f>IMPRODUCT(F61,IMSUB(COMPLEX(1,0),IMDIV(IMPRODUCT(COMPLEX(Ported!C$41,0),E61),IMSUM(COMPLEX(0-(2*PI()*B61)^2*Ported!C$38,0),IMPRODUCT(C61,COMPLEX(0,0)),IMPRODUCT(COMPLEX(Ported!C$41,0),E61)))))</f>
        <v>20.3575608194173+27.9727615619314i</v>
      </c>
      <c r="H61" s="32" t="str">
        <f>IMDIV(COMPLEX(Ported!C$18,0),IMPRODUCT(D61,IMSUM(COMPLEX(Ported!C$16-(2*PI()*B61)^2*Ported!C$15,0),IMPRODUCT(C61,IMSUM(COMPLEX(Ported!C$17,0),IMDIV(COMPLEX(Ported!C$18^2,0),D61))),IMPRODUCT(COMPLEX(Ported!C$14*Ported!C$41/Ported!C$24,0),G61))))</f>
        <v>0.0000373608594221475-0.0000797995743800655i</v>
      </c>
      <c r="I61" s="27">
        <f t="shared" si="1"/>
        <v>-64.911772773886966</v>
      </c>
      <c r="J61" s="20" t="str">
        <f>IMPRODUCT(IMDIV(IMPRODUCT(COMPLEX(-Ported!C$41,0),F61),IMSUM(IMPRODUCT(COMPLEX(Ported!C$41,0),E61),COMPLEX(Calculations!C$3-(2*PI()*B61)^2*Ported!C$38,0),IMPRODUCT(COMPLEX(Calculations!C$4,0),C61))),H61)</f>
        <v>0.00269739564106947-0.000522246483733684i</v>
      </c>
      <c r="K61" s="27">
        <f t="shared" si="2"/>
        <v>-10.957541327910427</v>
      </c>
      <c r="L61" s="40" t="str">
        <f>IMSUM(IMPRODUCT(COMPLEX(-(Ported!C$14/Ported!C$24),0),H61),IMDIV(IMPRODUCT(COMPLEX(-Ported!C$41,0),J61),IMSUM(COMPLEX(Ported!C$41,0),IMPRODUCT(COMPLEX(Ported!C$42,0),C61))),IMDIV(IMPRODUCT(COMPLEX(Ported!C$42*Ported!C$14/Ported!C$24,0),C61,H61),IMSUM(COMPLEX(Ported!C$41,0),IMPRODUCT(COMPLEX(Ported!C$42,0),C61))))</f>
        <v>0.0000785856613618322+0.000405893820275216i</v>
      </c>
      <c r="M61" s="28">
        <f t="shared" si="3"/>
        <v>79.042458672089367</v>
      </c>
      <c r="N61" s="39" t="str">
        <f>IMPRODUCT(COMPLEX((Ported!C$10*Ported!C$14)/(2*PI()),0),C61,C61,H61)</f>
        <v>-0.00632186760913388+0.0135029641260594i</v>
      </c>
      <c r="O61" s="28">
        <f t="shared" si="4"/>
        <v>115.08822722611302</v>
      </c>
      <c r="P61" s="26" t="str">
        <f>IMPRODUCT(COMPLEX((Ported!C$10*Ported!C$24)/(2*PI()),0),C61,C61,J61)</f>
        <v>-0.0786524900666817+0.0152280168874067i</v>
      </c>
      <c r="Q61" s="23">
        <f t="shared" si="5"/>
        <v>169.04245867208954</v>
      </c>
      <c r="R61" s="41" t="str">
        <f>IMPRODUCT(COMPLEX((Ported!C$10*Ported!C$24)/(2*PI()),0),C61,C61,L61)</f>
        <v>-0.0022914539697241-0.0118353270767007i</v>
      </c>
      <c r="S61" s="33">
        <f t="shared" si="6"/>
        <v>-100.95754132791062</v>
      </c>
      <c r="T61" s="38">
        <f>IMABS(IMDIV(D61,IMSUB(COMPLEX(1,0),IMPRODUCT(COMPLEX(Ported!C$18,0),IMPRODUCT(C61,H61)))))</f>
        <v>7.8042685502786071</v>
      </c>
      <c r="U61" s="21">
        <f>20*LOG10(Ported!C$29*50000*IMABS(N61))</f>
        <v>87.275951425897233</v>
      </c>
      <c r="V61" s="22">
        <f>20*LOG10(Ported!C$29*50000*IMABS(P61))</f>
        <v>101.8807032869608</v>
      </c>
      <c r="W61" s="22">
        <f>20*LOG10(Ported!C$29*50000*IMABS(R61))</f>
        <v>85.430059044650505</v>
      </c>
      <c r="X61" s="28">
        <f>1000*Ported!C$29*IMABS(H61)</f>
        <v>2.7314863093870767</v>
      </c>
      <c r="Y61" s="28">
        <f>1000*Ported!C$29*IMABS(J61)</f>
        <v>85.172095979244858</v>
      </c>
      <c r="Z61" s="28">
        <f>Ported!C$29*IMABS(IMPRODUCT(C61,J61))</f>
        <v>16.910805160416004</v>
      </c>
      <c r="AA61" s="28">
        <f>1000*Ported!C$29*IMABS(L61)</f>
        <v>12.816372537829251</v>
      </c>
      <c r="AB61" s="41" t="str">
        <f t="shared" si="7"/>
        <v>-0.0872658116455397+0.0168956539367654i</v>
      </c>
      <c r="AC61" s="28">
        <f>20*LOG10(Ported!C$29*50000*IMABS(AB61))</f>
        <v>102.78333640291046</v>
      </c>
      <c r="AD61" s="28">
        <f t="shared" si="8"/>
        <v>137773.85808767981</v>
      </c>
      <c r="AE61" s="23">
        <f t="shared" si="9"/>
        <v>169.04245867208954</v>
      </c>
      <c r="AG61" s="64"/>
    </row>
    <row r="62" spans="2:33" s="8" customFormat="1" x14ac:dyDescent="0.25">
      <c r="B62" s="24">
        <v>32.4</v>
      </c>
      <c r="C62" s="17" t="str">
        <f t="shared" si="0"/>
        <v>203.575203952619i</v>
      </c>
      <c r="D62" s="18" t="str">
        <f>COMPLEX(Ported!C$19,2*PI()*B62*Ported!C$20)</f>
        <v>6</v>
      </c>
      <c r="E62" s="19" t="str">
        <f>IMSUB(COMPLEX(1,0),IMDIV(COMPLEX(Ported!C$41,0),IMSUM(COMPLEX(Ported!C$41,0),IMPRODUCT(C62,COMPLEX(Ported!C$42,0)))))</f>
        <v>0.982804160017609+0.13000055026688i</v>
      </c>
      <c r="F62" s="19" t="str">
        <f>IMDIV(IMPRODUCT(C62,COMPLEX((Ported!C$42*Ported!C$14/Ported!C$24),0)),IMSUM(COMPLEX(Ported!C$41,0),IMPRODUCT(C62,COMPLEX(Ported!C$42,0))))</f>
        <v>5.7033194778224+0.754407338336297i</v>
      </c>
      <c r="G62" s="30" t="str">
        <f>IMPRODUCT(F62,IMSUB(COMPLEX(1,0),IMDIV(IMPRODUCT(COMPLEX(Ported!C$41,0),E62),IMSUM(COMPLEX(0-(2*PI()*B62)^2*Ported!C$38,0),IMPRODUCT(C62,COMPLEX(0,0)),IMPRODUCT(COMPLEX(Ported!C$41,0),E62)))))</f>
        <v>21.8732340847709+20.2808145703573i</v>
      </c>
      <c r="H62" s="32" t="str">
        <f>IMDIV(COMPLEX(Ported!C$18,0),IMPRODUCT(D62,IMSUM(COMPLEX(Ported!C$16-(2*PI()*B62)^2*Ported!C$15,0),IMPRODUCT(C62,IMSUM(COMPLEX(Ported!C$17,0),IMDIV(COMPLEX(Ported!C$18^2,0),D62))),IMPRODUCT(COMPLEX(Ported!C$14*Ported!C$41/Ported!C$24,0),G62))))</f>
        <v>0.0000519865191171728-0.0000864872130546963i</v>
      </c>
      <c r="I62" s="27">
        <f t="shared" si="1"/>
        <v>-58.990383491233423</v>
      </c>
      <c r="J62" s="20" t="str">
        <f>IMPRODUCT(IMDIV(IMPRODUCT(COMPLEX(-Ported!C$41,0),F62),IMSUM(IMPRODUCT(COMPLEX(Ported!C$41,0),E62),COMPLEX(Calculations!C$3-(2*PI()*B62)^2*Ported!C$38,0),IMPRODUCT(COMPLEX(Calculations!C$4,0),C62))),H62)</f>
        <v>0.00247869035714302-0.000717957906473853i</v>
      </c>
      <c r="K62" s="27">
        <f t="shared" si="2"/>
        <v>-16.153771276491568</v>
      </c>
      <c r="L62" s="40" t="str">
        <f>IMSUM(IMPRODUCT(COMPLEX(-(Ported!C$14/Ported!C$24),0),H62),IMDIV(IMPRODUCT(COMPLEX(-Ported!C$41,0),J62),IMSUM(COMPLEX(Ported!C$41,0),IMPRODUCT(COMPLEX(Ported!C$42,0),C62))),IMDIV(IMPRODUCT(COMPLEX(Ported!C$42*Ported!C$14/Ported!C$24,0),C62,H62),IMSUM(COMPLEX(Ported!C$41,0),IMPRODUCT(COMPLEX(Ported!C$42,0),C62))))</f>
        <v>0.000110770648427395+0.000382426512244924i</v>
      </c>
      <c r="M62" s="28">
        <f t="shared" si="3"/>
        <v>73.846228723508389</v>
      </c>
      <c r="N62" s="39" t="str">
        <f>IMPRODUCT(COMPLEX((Ported!C$10*Ported!C$14)/(2*PI()),0),C62,C62,H62)</f>
        <v>-0.0092477298243987+0.0153849573538929i</v>
      </c>
      <c r="O62" s="28">
        <f t="shared" si="4"/>
        <v>121.00961650876653</v>
      </c>
      <c r="P62" s="26" t="str">
        <f>IMPRODUCT(COMPLEX((Ported!C$10*Ported!C$24)/(2*PI()),0),C62,C62,J62)</f>
        <v>-0.075981166645621+0.0220081056833608i</v>
      </c>
      <c r="Q62" s="23">
        <f t="shared" si="5"/>
        <v>163.84622872350846</v>
      </c>
      <c r="R62" s="41" t="str">
        <f>IMPRODUCT(COMPLEX((Ported!C$10*Ported!C$24)/(2*PI()),0),C62,C62,L62)</f>
        <v>-0.00339553630543283-0.0117228085681816i</v>
      </c>
      <c r="S62" s="33">
        <f t="shared" si="6"/>
        <v>-106.15377127649154</v>
      </c>
      <c r="T62" s="38">
        <f>IMABS(IMDIV(D62,IMSUB(COMPLEX(1,0),IMPRODUCT(COMPLEX(Ported!C$18,0),IMPRODUCT(C62,H62)))))</f>
        <v>7.9874136978157821</v>
      </c>
      <c r="U62" s="21">
        <f>20*LOG10(Ported!C$29*50000*IMABS(N62))</f>
        <v>88.888124118436536</v>
      </c>
      <c r="V62" s="22">
        <f>20*LOG10(Ported!C$29*50000*IMABS(P62))</f>
        <v>101.77063866000823</v>
      </c>
      <c r="W62" s="22">
        <f>20*LOG10(Ported!C$29*50000*IMABS(R62))</f>
        <v>85.537152969462142</v>
      </c>
      <c r="X62" s="28">
        <f>1000*Ported!C$29*IMABS(H62)</f>
        <v>3.1281805223492052</v>
      </c>
      <c r="Y62" s="28">
        <f>1000*Ported!C$29*IMABS(J62)</f>
        <v>79.997837682162924</v>
      </c>
      <c r="Z62" s="28">
        <f>Ported!C$29*IMABS(IMPRODUCT(C62,J62))</f>
        <v>16.285576121914822</v>
      </c>
      <c r="AA62" s="28">
        <f>1000*Ported!C$29*IMABS(L62)</f>
        <v>12.34252352810517</v>
      </c>
      <c r="AB62" s="41" t="str">
        <f t="shared" si="7"/>
        <v>-0.0886244327754525+0.0256702544690721i</v>
      </c>
      <c r="AC62" s="28">
        <f>20*LOG10(Ported!C$29*50000*IMABS(AB62))</f>
        <v>103.10758887948623</v>
      </c>
      <c r="AD62" s="28">
        <f t="shared" si="8"/>
        <v>143014.29316117155</v>
      </c>
      <c r="AE62" s="23">
        <f t="shared" si="9"/>
        <v>163.84622872350843</v>
      </c>
      <c r="AG62" s="64"/>
    </row>
    <row r="63" spans="2:33" s="8" customFormat="1" x14ac:dyDescent="0.25">
      <c r="B63" s="24">
        <v>33.1</v>
      </c>
      <c r="C63" s="17" t="str">
        <f t="shared" si="0"/>
        <v>207.973433667644i</v>
      </c>
      <c r="D63" s="18" t="str">
        <f>COMPLEX(Ported!C$19,2*PI()*B63*Ported!C$20)</f>
        <v>6</v>
      </c>
      <c r="E63" s="19" t="str">
        <f>IMSUB(COMPLEX(1,0),IMDIV(COMPLEX(Ported!C$41,0),IMSUM(COMPLEX(Ported!C$41,0),IMPRODUCT(C63,COMPLEX(Ported!C$42,0)))))</f>
        <v>0.9835119206066+0.127342933181692i</v>
      </c>
      <c r="F63" s="19" t="str">
        <f>IMDIV(IMPRODUCT(C63,COMPLEX((Ported!C$42*Ported!C$14/Ported!C$24),0)),IMSUM(COMPLEX(Ported!C$41,0),IMPRODUCT(C63,COMPLEX(Ported!C$42,0))))</f>
        <v>5.70742668953053+0.738984897220184i</v>
      </c>
      <c r="G63" s="30" t="str">
        <f>IMPRODUCT(F63,IMSUB(COMPLEX(1,0),IMDIV(IMPRODUCT(COMPLEX(Ported!C$41,0),E63),IMSUM(COMPLEX(0-(2*PI()*B63)^2*Ported!C$38,0),IMPRODUCT(C63,COMPLEX(0,0)),IMPRODUCT(COMPLEX(Ported!C$41,0),E63)))))</f>
        <v>21.3006897964492+15.4473441818445i</v>
      </c>
      <c r="H63" s="32" t="str">
        <f>IMDIV(COMPLEX(Ported!C$18,0),IMPRODUCT(D63,IMSUM(COMPLEX(Ported!C$16-(2*PI()*B63)^2*Ported!C$15,0),IMPRODUCT(C63,IMSUM(COMPLEX(Ported!C$17,0),IMDIV(COMPLEX(Ported!C$18^2,0),D63))),IMPRODUCT(COMPLEX(Ported!C$14*Ported!C$41/Ported!C$24,0),G63))))</f>
        <v>0.0000622709149468311-0.0000939969679236586i</v>
      </c>
      <c r="I63" s="27">
        <f t="shared" si="1"/>
        <v>-56.47640632333416</v>
      </c>
      <c r="J63" s="20" t="str">
        <f>IMPRODUCT(IMDIV(IMPRODUCT(COMPLEX(-Ported!C$41,0),F63),IMSUM(IMPRODUCT(COMPLEX(Ported!C$41,0),E63),COMPLEX(Calculations!C$3-(2*PI()*B63)^2*Ported!C$38,0),IMPRODUCT(COMPLEX(Calculations!C$4,0),C63))),H63)</f>
        <v>0.00228235892550366-0.000854548607498942i</v>
      </c>
      <c r="K63" s="27">
        <f t="shared" si="2"/>
        <v>-20.526636073325534</v>
      </c>
      <c r="L63" s="40" t="str">
        <f>IMSUM(IMPRODUCT(COMPLEX(-(Ported!C$14/Ported!C$24),0),H63),IMDIV(IMPRODUCT(COMPLEX(-Ported!C$41,0),J63),IMSUM(COMPLEX(Ported!C$41,0),IMPRODUCT(COMPLEX(Ported!C$42,0),C63))),IMDIV(IMPRODUCT(COMPLEX(Ported!C$42*Ported!C$14/Ported!C$24,0),C63,H63),IMSUM(COMPLEX(Ported!C$41,0),IMPRODUCT(COMPLEX(Ported!C$42,0),C63))))</f>
        <v>0.000134693137658168+0.00035974324016272i</v>
      </c>
      <c r="M63" s="28">
        <f t="shared" si="3"/>
        <v>69.473363926674281</v>
      </c>
      <c r="N63" s="39" t="str">
        <f>IMPRODUCT(COMPLEX((Ported!C$10*Ported!C$14)/(2*PI()),0),C63,C63,H63)</f>
        <v>-0.0115610055060698+0.0174511562042592i</v>
      </c>
      <c r="O63" s="28">
        <f t="shared" si="4"/>
        <v>123.52359367666571</v>
      </c>
      <c r="P63" s="26" t="str">
        <f>IMPRODUCT(COMPLEX((Ported!C$10*Ported!C$24)/(2*PI()),0),C63,C63,J63)</f>
        <v>-0.0730186148892886+0.027339238792765i</v>
      </c>
      <c r="Q63" s="23">
        <f t="shared" si="5"/>
        <v>159.47336392667444</v>
      </c>
      <c r="R63" s="41" t="str">
        <f>IMPRODUCT(COMPLEX((Ported!C$10*Ported!C$24)/(2*PI()),0),C63,C63,L63)</f>
        <v>-0.00430918478114538-0.0115091245373117i</v>
      </c>
      <c r="S63" s="33">
        <f t="shared" si="6"/>
        <v>-110.52663607332568</v>
      </c>
      <c r="T63" s="38">
        <f>IMABS(IMDIV(D63,IMSUB(COMPLEX(1,0),IMPRODUCT(COMPLEX(Ported!C$18,0),IMPRODUCT(C63,H63)))))</f>
        <v>8.2047405246544276</v>
      </c>
      <c r="U63" s="21">
        <f>20*LOG10(Ported!C$29*50000*IMABS(N63))</f>
        <v>90.223354734053032</v>
      </c>
      <c r="V63" s="22">
        <f>20*LOG10(Ported!C$29*50000*IMABS(P63))</f>
        <v>101.64506405746909</v>
      </c>
      <c r="W63" s="22">
        <f>20*LOG10(Ported!C$29*50000*IMABS(R63))</f>
        <v>85.597238038305093</v>
      </c>
      <c r="X63" s="28">
        <f>1000*Ported!C$29*IMABS(H63)</f>
        <v>3.4953234544027056</v>
      </c>
      <c r="Y63" s="28">
        <f>1000*Ported!C$29*IMABS(J63)</f>
        <v>75.549840367110136</v>
      </c>
      <c r="Z63" s="28">
        <f>Ported!C$29*IMABS(IMPRODUCT(C63,J63))</f>
        <v>15.712359714190283</v>
      </c>
      <c r="AA63" s="28">
        <f>1000*Ported!C$29*IMABS(L63)</f>
        <v>11.908093886434999</v>
      </c>
      <c r="AB63" s="41" t="str">
        <f t="shared" si="7"/>
        <v>-0.0888888051765038+0.0332812704597125i</v>
      </c>
      <c r="AC63" s="28">
        <f>20*LOG10(Ported!C$29*50000*IMABS(AB63))</f>
        <v>103.35333361971132</v>
      </c>
      <c r="AD63" s="28">
        <f t="shared" si="8"/>
        <v>147118.29428901203</v>
      </c>
      <c r="AE63" s="23">
        <f t="shared" si="9"/>
        <v>159.47336392667444</v>
      </c>
      <c r="AG63" s="64"/>
    </row>
    <row r="64" spans="2:33" s="8" customFormat="1" x14ac:dyDescent="0.25">
      <c r="B64" s="24">
        <v>33.9</v>
      </c>
      <c r="C64" s="17" t="str">
        <f t="shared" si="0"/>
        <v>212.999981913388i</v>
      </c>
      <c r="D64" s="18" t="str">
        <f>COMPLEX(Ported!C$19,2*PI()*B64*Ported!C$20)</f>
        <v>6</v>
      </c>
      <c r="E64" s="19" t="str">
        <f>IMSUB(COMPLEX(1,0),IMDIV(COMPLEX(Ported!C$41,0),IMSUM(COMPLEX(Ported!C$41,0),IMPRODUCT(C64,COMPLEX(Ported!C$42,0)))))</f>
        <v>0.984268839244841+0.124433481573305i</v>
      </c>
      <c r="F64" s="19" t="str">
        <f>IMDIV(IMPRODUCT(C64,COMPLEX((Ported!C$42*Ported!C$14/Ported!C$24),0)),IMSUM(COMPLEX(Ported!C$41,0),IMPRODUCT(C64,COMPLEX(Ported!C$42,0))))</f>
        <v>5.71181917074728+0.722101032964259i</v>
      </c>
      <c r="G64" s="30" t="str">
        <f>IMPRODUCT(F64,IMSUB(COMPLEX(1,0),IMDIV(IMPRODUCT(COMPLEX(Ported!C$41,0),E64),IMSUM(COMPLEX(0-(2*PI()*B64)^2*Ported!C$38,0),IMPRODUCT(C64,COMPLEX(0,0)),IMPRODUCT(COMPLEX(Ported!C$41,0),E64)))))</f>
        <v>19.9724553105369+11.6436436572807i</v>
      </c>
      <c r="H64" s="32" t="str">
        <f>IMDIV(COMPLEX(Ported!C$18,0),IMPRODUCT(D64,IMSUM(COMPLEX(Ported!C$16-(2*PI()*B64)^2*Ported!C$15,0),IMPRODUCT(C64,IMSUM(COMPLEX(Ported!C$17,0),IMDIV(COMPLEX(Ported!C$18^2,0),D64))),IMPRODUCT(COMPLEX(Ported!C$14*Ported!C$41/Ported!C$24,0),G64))))</f>
        <v>0.0000711491590211452-0.000103752525080507i</v>
      </c>
      <c r="I64" s="27">
        <f t="shared" si="1"/>
        <v>-55.55929400426993</v>
      </c>
      <c r="J64" s="20" t="str">
        <f>IMPRODUCT(IMDIV(IMPRODUCT(COMPLEX(-Ported!C$41,0),F64),IMSUM(IMPRODUCT(COMPLEX(Ported!C$41,0),E64),COMPLEX(Calculations!C$3-(2*PI()*B64)^2*Ported!C$38,0),IMPRODUCT(COMPLEX(Calculations!C$4,0),C64))),H64)</f>
        <v>0.00205895593195444-0.000974044338921115i</v>
      </c>
      <c r="K64" s="27">
        <f t="shared" si="2"/>
        <v>-25.317746213834578</v>
      </c>
      <c r="L64" s="40" t="str">
        <f>IMSUM(IMPRODUCT(COMPLEX(-(Ported!C$14/Ported!C$24),0),H64),IMDIV(IMPRODUCT(COMPLEX(-Ported!C$41,0),J64),IMSUM(COMPLEX(Ported!C$41,0),IMPRODUCT(COMPLEX(Ported!C$42,0),C64))),IMDIV(IMPRODUCT(COMPLEX(Ported!C$42*Ported!C$14/Ported!C$24,0),C64,H64),IMSUM(COMPLEX(Ported!C$41,0),IMPRODUCT(COMPLEX(Ported!C$42,0),C64))))</f>
        <v>0.000157238586140123+0.000332374314729786i</v>
      </c>
      <c r="M64" s="28">
        <f t="shared" si="3"/>
        <v>64.682253786165262</v>
      </c>
      <c r="N64" s="39" t="str">
        <f>IMPRODUCT(COMPLEX((Ported!C$10*Ported!C$14)/(2*PI()),0),C64,C64,H64)</f>
        <v>-0.0138555427014931+0.0202047018041839i</v>
      </c>
      <c r="O64" s="28">
        <f t="shared" si="4"/>
        <v>124.44070599573006</v>
      </c>
      <c r="P64" s="26" t="str">
        <f>IMPRODUCT(COMPLEX((Ported!C$10*Ported!C$24)/(2*PI()),0),C64,C64,J64)</f>
        <v>-0.0690939637541118+0.0326867531275567i</v>
      </c>
      <c r="Q64" s="23">
        <f t="shared" si="5"/>
        <v>154.68225378616546</v>
      </c>
      <c r="R64" s="41" t="str">
        <f>IMPRODUCT(COMPLEX((Ported!C$10*Ported!C$24)/(2*PI()),0),C64,C64,L64)</f>
        <v>-0.00527657586201988-0.0111537398631637i</v>
      </c>
      <c r="S64" s="33">
        <f t="shared" si="6"/>
        <v>-115.31774621383474</v>
      </c>
      <c r="T64" s="38">
        <f>IMABS(IMDIV(D64,IMSUB(COMPLEX(1,0),IMPRODUCT(COMPLEX(Ported!C$18,0),IMPRODUCT(C64,H64)))))</f>
        <v>8.518585573312297</v>
      </c>
      <c r="U64" s="21">
        <f>20*LOG10(Ported!C$29*50000*IMABS(N64))</f>
        <v>91.589637567984113</v>
      </c>
      <c r="V64" s="22">
        <f>20*LOG10(Ported!C$29*50000*IMABS(P64))</f>
        <v>101.47254658497631</v>
      </c>
      <c r="W64" s="22">
        <f>20*LOG10(Ported!C$29*50000*IMABS(R64))</f>
        <v>85.632154654359539</v>
      </c>
      <c r="X64" s="28">
        <f>1000*Ported!C$29*IMABS(H64)</f>
        <v>3.8999416031124801</v>
      </c>
      <c r="Y64" s="28">
        <f>1000*Ported!C$29*IMABS(J64)</f>
        <v>70.60968410679925</v>
      </c>
      <c r="Z64" s="28">
        <f>Ported!C$29*IMABS(IMPRODUCT(C64,J64))</f>
        <v>15.039861437658281</v>
      </c>
      <c r="AA64" s="28">
        <f>1000*Ported!C$29*IMABS(L64)</f>
        <v>11.398420434383249</v>
      </c>
      <c r="AB64" s="41" t="str">
        <f t="shared" si="7"/>
        <v>-0.0882260823176248+0.0417377150685769i</v>
      </c>
      <c r="AC64" s="28">
        <f>20*LOG10(Ported!C$29*50000*IMABS(AB64))</f>
        <v>103.59568432431305</v>
      </c>
      <c r="AD64" s="28">
        <f t="shared" si="8"/>
        <v>151280.94063952524</v>
      </c>
      <c r="AE64" s="23">
        <f t="shared" si="9"/>
        <v>154.68225378616543</v>
      </c>
      <c r="AG64" s="64"/>
    </row>
    <row r="65" spans="2:33" s="8" customFormat="1" x14ac:dyDescent="0.25">
      <c r="B65" s="24">
        <v>34.700000000000003</v>
      </c>
      <c r="C65" s="17" t="str">
        <f t="shared" si="0"/>
        <v>218.026530159132i</v>
      </c>
      <c r="D65" s="18" t="str">
        <f>COMPLEX(Ported!C$19,2*PI()*B65*Ported!C$20)</f>
        <v>6</v>
      </c>
      <c r="E65" s="19" t="str">
        <f>IMSUB(COMPLEX(1,0),IMDIV(COMPLEX(Ported!C$41,0),IMSUM(COMPLEX(Ported!C$41,0),IMPRODUCT(C65,COMPLEX(Ported!C$42,0)))))</f>
        <v>0.984975061105592+0.121651921915059i</v>
      </c>
      <c r="F65" s="19" t="str">
        <f>IMDIV(IMPRODUCT(C65,COMPLEX((Ported!C$42*Ported!C$14/Ported!C$24),0)),IMSUM(COMPLEX(Ported!C$41,0),IMPRODUCT(C65,COMPLEX(Ported!C$42,0))))</f>
        <v>5.715917453048+0.705959339610705i</v>
      </c>
      <c r="G65" s="30" t="str">
        <f>IMPRODUCT(F65,IMSUB(COMPLEX(1,0),IMDIV(IMPRODUCT(COMPLEX(Ported!C$41,0),E65),IMSUM(COMPLEX(0-(2*PI()*B65)^2*Ported!C$38,0),IMPRODUCT(C65,COMPLEX(0,0)),IMPRODUCT(COMPLEX(Ported!C$41,0),E65)))))</f>
        <v>18.5433294854123+9.06855864772844i</v>
      </c>
      <c r="H65" s="32" t="str">
        <f>IMDIV(COMPLEX(Ported!C$18,0),IMPRODUCT(D65,IMSUM(COMPLEX(Ported!C$16-(2*PI()*B65)^2*Ported!C$15,0),IMPRODUCT(C65,IMSUM(COMPLEX(Ported!C$17,0),IMDIV(COMPLEX(Ported!C$18^2,0),D65))),IMPRODUCT(COMPLEX(Ported!C$14*Ported!C$41/Ported!C$24,0),G65))))</f>
        <v>0.0000771131578834677-0.000114093308059445i</v>
      </c>
      <c r="I65" s="27">
        <f t="shared" si="1"/>
        <v>-55.946104212870495</v>
      </c>
      <c r="J65" s="20" t="str">
        <f>IMPRODUCT(IMDIV(IMPRODUCT(COMPLEX(-Ported!C$41,0),F65),IMSUM(IMPRODUCT(COMPLEX(Ported!C$41,0),E65),COMPLEX(Calculations!C$3-(2*PI()*B65)^2*Ported!C$38,0),IMPRODUCT(COMPLEX(Calculations!C$4,0),C65))),H65)</f>
        <v>0.00184216868736537-0.00105866517268996i</v>
      </c>
      <c r="K65" s="27">
        <f t="shared" si="2"/>
        <v>-29.885300320872187</v>
      </c>
      <c r="L65" s="40" t="str">
        <f>IMSUM(IMPRODUCT(COMPLEX(-(Ported!C$14/Ported!C$24),0),H65),IMDIV(IMPRODUCT(COMPLEX(-Ported!C$41,0),J65),IMSUM(COMPLEX(Ported!C$41,0),IMPRODUCT(COMPLEX(Ported!C$42,0),C65))),IMDIV(IMPRODUCT(COMPLEX(Ported!C$42*Ported!C$14/Ported!C$24,0),C65,H65),IMSUM(COMPLEX(Ported!C$41,0),IMPRODUCT(COMPLEX(Ported!C$42,0),C65))))</f>
        <v>0.000174931816630201+0.000304396445007515i</v>
      </c>
      <c r="M65" s="28">
        <f t="shared" si="3"/>
        <v>60.114699679127348</v>
      </c>
      <c r="N65" s="39" t="str">
        <f>IMPRODUCT(COMPLEX((Ported!C$10*Ported!C$14)/(2*PI()),0),C65,C65,H65)</f>
        <v>-0.0157340965782153+0.023279491817054i</v>
      </c>
      <c r="O65" s="28">
        <f t="shared" si="4"/>
        <v>124.05389578712948</v>
      </c>
      <c r="P65" s="26" t="str">
        <f>IMPRODUCT(COMPLEX((Ported!C$10*Ported!C$24)/(2*PI()),0),C65,C65,J65)</f>
        <v>-0.0647712093005913+0.0372229882908371i</v>
      </c>
      <c r="Q65" s="23">
        <f t="shared" si="5"/>
        <v>150.11469967912788</v>
      </c>
      <c r="R65" s="41" t="str">
        <f>IMPRODUCT(COMPLEX((Ported!C$10*Ported!C$24)/(2*PI()),0),C65,C65,L65)</f>
        <v>-0.00615065568424795-0.0107026712510977i</v>
      </c>
      <c r="S65" s="33">
        <f t="shared" si="6"/>
        <v>-119.88530032087259</v>
      </c>
      <c r="T65" s="38">
        <f>IMABS(IMDIV(D65,IMSUB(COMPLEX(1,0),IMPRODUCT(COMPLEX(Ported!C$18,0),IMPRODUCT(C65,H65)))))</f>
        <v>8.9040117731252675</v>
      </c>
      <c r="U65" s="21">
        <f>20*LOG10(Ported!C$29*50000*IMABS(N65))</f>
        <v>92.780136242918019</v>
      </c>
      <c r="V65" s="22">
        <f>20*LOG10(Ported!C$29*50000*IMABS(P65))</f>
        <v>101.27364556422731</v>
      </c>
      <c r="W65" s="22">
        <f>20*LOG10(Ported!C$29*50000*IMABS(R65))</f>
        <v>85.635849165366423</v>
      </c>
      <c r="X65" s="28">
        <f>1000*Ported!C$29*IMABS(H65)</f>
        <v>4.2689737528195719</v>
      </c>
      <c r="Y65" s="28">
        <f>1000*Ported!C$29*IMABS(J65)</f>
        <v>65.865753477612671</v>
      </c>
      <c r="Z65" s="28">
        <f>Ported!C$29*IMABS(IMPRODUCT(C65,J65))</f>
        <v>14.360481687040654</v>
      </c>
      <c r="AA65" s="28">
        <f>1000*Ported!C$29*IMABS(L65)</f>
        <v>10.883531646062682</v>
      </c>
      <c r="AB65" s="41" t="str">
        <f t="shared" si="7"/>
        <v>-0.0866559615630546+0.0497998088567934i</v>
      </c>
      <c r="AC65" s="28">
        <f>20*LOG10(Ported!C$29*50000*IMABS(AB65))</f>
        <v>103.80197436707576</v>
      </c>
      <c r="AD65" s="28">
        <f t="shared" si="8"/>
        <v>154916.87164221122</v>
      </c>
      <c r="AE65" s="23">
        <f t="shared" si="9"/>
        <v>150.11469967912788</v>
      </c>
      <c r="AG65" s="64"/>
    </row>
    <row r="66" spans="2:33" s="8" customFormat="1" x14ac:dyDescent="0.25">
      <c r="B66" s="24">
        <v>35.5</v>
      </c>
      <c r="C66" s="17" t="str">
        <f t="shared" si="0"/>
        <v>223.053078404875i</v>
      </c>
      <c r="D66" s="18" t="str">
        <f>COMPLEX(Ported!C$19,2*PI()*B66*Ported!C$20)</f>
        <v>6</v>
      </c>
      <c r="E66" s="19" t="str">
        <f>IMSUB(COMPLEX(1,0),IMDIV(COMPLEX(Ported!C$41,0),IMSUM(COMPLEX(Ported!C$41,0),IMPRODUCT(C66,COMPLEX(Ported!C$42,0)))))</f>
        <v>0.98563499315667+0.118990140018914i</v>
      </c>
      <c r="F66" s="19" t="str">
        <f>IMDIV(IMPRODUCT(C66,COMPLEX((Ported!C$42*Ported!C$14/Ported!C$24),0)),IMSUM(COMPLEX(Ported!C$41,0),IMPRODUCT(C66,COMPLEX(Ported!C$42,0))))</f>
        <v>5.71974711054649+0.690512729643442i</v>
      </c>
      <c r="G66" s="30" t="str">
        <f>IMPRODUCT(F66,IMSUB(COMPLEX(1,0),IMDIV(IMPRODUCT(COMPLEX(Ported!C$41,0),E66),IMSUM(COMPLEX(0-(2*PI()*B66)^2*Ported!C$38,0),IMPRODUCT(C66,COMPLEX(0,0)),IMPRODUCT(COMPLEX(Ported!C$41,0),E66)))))</f>
        <v>17.2280366803306+7.27584378489226i</v>
      </c>
      <c r="H66" s="32" t="str">
        <f>IMDIV(COMPLEX(Ported!C$18,0),IMPRODUCT(D66,IMSUM(COMPLEX(Ported!C$16-(2*PI()*B66)^2*Ported!C$15,0),IMPRODUCT(C66,IMSUM(COMPLEX(Ported!C$17,0),IMDIV(COMPLEX(Ported!C$18^2,0),D66))),IMPRODUCT(COMPLEX(Ported!C$14*Ported!C$41/Ported!C$24,0),G66))))</f>
        <v>0.0000804330621434466-0.000124453109740904i</v>
      </c>
      <c r="I66" s="27">
        <f t="shared" si="1"/>
        <v>-57.125733053219875</v>
      </c>
      <c r="J66" s="20" t="str">
        <f>IMPRODUCT(IMDIV(IMPRODUCT(COMPLEX(-Ported!C$41,0),F66),IMSUM(IMPRODUCT(COMPLEX(Ported!C$41,0),E66),COMPLEX(Calculations!C$3-(2*PI()*B66)^2*Ported!C$38,0),IMPRODUCT(COMPLEX(Calculations!C$4,0),C66))),H66)</f>
        <v>0.00163625043994742-0.00111325364798344i</v>
      </c>
      <c r="K66" s="27">
        <f t="shared" si="2"/>
        <v>-34.230146571401654</v>
      </c>
      <c r="L66" s="40" t="str">
        <f>IMSUM(IMPRODUCT(COMPLEX(-(Ported!C$14/Ported!C$24),0),H66),IMDIV(IMPRODUCT(COMPLEX(-Ported!C$41,0),J66),IMSUM(COMPLEX(Ported!C$41,0),IMPRODUCT(COMPLEX(Ported!C$42,0),C66))),IMDIV(IMPRODUCT(COMPLEX(Ported!C$42*Ported!C$14/Ported!C$24,0),C66,H66),IMSUM(COMPLEX(Ported!C$41,0),IMPRODUCT(COMPLEX(Ported!C$42,0),C66))))</f>
        <v>0.000188192878587676+0.000276604241038729i</v>
      </c>
      <c r="M66" s="28">
        <f t="shared" si="3"/>
        <v>55.76985342859831</v>
      </c>
      <c r="N66" s="39" t="str">
        <f>IMPRODUCT(COMPLEX((Ported!C$10*Ported!C$14)/(2*PI()),0),C66,C66,H66)</f>
        <v>-0.0171769354119741+0.0265776655876455i</v>
      </c>
      <c r="O66" s="28">
        <f t="shared" si="4"/>
        <v>122.87426694678012</v>
      </c>
      <c r="P66" s="26" t="str">
        <f>IMPRODUCT(COMPLEX((Ported!C$10*Ported!C$24)/(2*PI()),0),C66,C66,J66)</f>
        <v>-0.0602143693811354+0.0409679745459536i</v>
      </c>
      <c r="Q66" s="23">
        <f t="shared" si="5"/>
        <v>145.76985342859837</v>
      </c>
      <c r="R66" s="41" t="str">
        <f>IMPRODUCT(COMPLEX((Ported!C$10*Ported!C$24)/(2*PI()),0),C66,C66,L66)</f>
        <v>-0.0069255385541969-0.0101790957763347i</v>
      </c>
      <c r="S66" s="33">
        <f t="shared" si="6"/>
        <v>-124.23014657140182</v>
      </c>
      <c r="T66" s="38">
        <f>IMABS(IMDIV(D66,IMSUB(COMPLEX(1,0),IMPRODUCT(COMPLEX(Ported!C$18,0),IMPRODUCT(C66,H66)))))</f>
        <v>9.3643983155355386</v>
      </c>
      <c r="U66" s="21">
        <f>20*LOG10(Ported!C$29*50000*IMABS(N66))</f>
        <v>93.812794047644815</v>
      </c>
      <c r="V66" s="22">
        <f>20*LOG10(Ported!C$29*50000*IMABS(P66))</f>
        <v>101.05278802135405</v>
      </c>
      <c r="W66" s="22">
        <f>20*LOG10(Ported!C$29*50000*IMABS(R66))</f>
        <v>85.612969187777495</v>
      </c>
      <c r="X66" s="28">
        <f>1000*Ported!C$29*IMABS(H66)</f>
        <v>4.5936575736078629</v>
      </c>
      <c r="Y66" s="28">
        <f>1000*Ported!C$29*IMABS(J66)</f>
        <v>61.350630548385375</v>
      </c>
      <c r="Z66" s="28">
        <f>Ported!C$29*IMABS(IMPRODUCT(C66,J66))</f>
        <v>13.684447005897516</v>
      </c>
      <c r="AA66" s="28">
        <f>1000*Ported!C$29*IMABS(L66)</f>
        <v>10.371178021274618</v>
      </c>
      <c r="AB66" s="41" t="str">
        <f t="shared" si="7"/>
        <v>-0.0843168433473064+0.0573665443572644i</v>
      </c>
      <c r="AC66" s="28">
        <f>20*LOG10(Ported!C$29*50000*IMABS(AB66))</f>
        <v>103.97707195477132</v>
      </c>
      <c r="AD66" s="28">
        <f t="shared" si="8"/>
        <v>158071.50845969885</v>
      </c>
      <c r="AE66" s="23">
        <f t="shared" si="9"/>
        <v>145.76985342859837</v>
      </c>
      <c r="AG66" s="64"/>
    </row>
    <row r="67" spans="2:33" s="8" customFormat="1" x14ac:dyDescent="0.25">
      <c r="B67" s="24">
        <v>36.299999999999997</v>
      </c>
      <c r="C67" s="17" t="str">
        <f t="shared" si="0"/>
        <v>228.079626650619i</v>
      </c>
      <c r="D67" s="18" t="str">
        <f>COMPLEX(Ported!C$19,2*PI()*B67*Ported!C$20)</f>
        <v>6</v>
      </c>
      <c r="E67" s="19" t="str">
        <f>IMSUB(COMPLEX(1,0),IMDIV(COMPLEX(Ported!C$41,0),IMSUM(COMPLEX(Ported!C$41,0),IMPRODUCT(C67,COMPLEX(Ported!C$42,0)))))</f>
        <v>0.986252575923586+0.116440681927224i</v>
      </c>
      <c r="F67" s="19" t="str">
        <f>IMDIV(IMPRODUCT(C67,COMPLEX((Ported!C$42*Ported!C$14/Ported!C$24),0)),IMSUM(COMPLEX(Ported!C$41,0),IMPRODUCT(C67,COMPLEX(Ported!C$42,0))))</f>
        <v>5.72333101054102+0.675717946935187i</v>
      </c>
      <c r="G67" s="30" t="str">
        <f>IMPRODUCT(F67,IMSUB(COMPLEX(1,0),IMDIV(IMPRODUCT(COMPLEX(Ported!C$41,0),E67),IMSUM(COMPLEX(0-(2*PI()*B67)^2*Ported!C$38,0),IMPRODUCT(C67,COMPLEX(0,0)),IMPRODUCT(COMPLEX(Ported!C$41,0),E67)))))</f>
        <v>16.0768670930159+5.98793646152286i</v>
      </c>
      <c r="H67" s="32" t="str">
        <f>IMDIV(COMPLEX(Ported!C$18,0),IMPRODUCT(D67,IMSUM(COMPLEX(Ported!C$16-(2*PI()*B67)^2*Ported!C$15,0),IMPRODUCT(C67,IMSUM(COMPLEX(Ported!C$17,0),IMDIV(COMPLEX(Ported!C$18^2,0),D67))),IMPRODUCT(COMPLEX(Ported!C$14*Ported!C$41/Ported!C$24,0),G67))))</f>
        <v>0.000081444629671648-0.000134400942585964i</v>
      </c>
      <c r="I67" s="27">
        <f t="shared" si="1"/>
        <v>-58.784867039794229</v>
      </c>
      <c r="J67" s="20" t="str">
        <f>IMPRODUCT(IMDIV(IMPRODUCT(COMPLEX(-Ported!C$41,0),F67),IMSUM(IMPRODUCT(COMPLEX(Ported!C$41,0),E67),COMPLEX(Calculations!C$3-(2*PI()*B67)^2*Ported!C$38,0),IMPRODUCT(COMPLEX(Calculations!C$4,0),C67))),H67)</f>
        <v>0.00144399890119836-0.00114272305411141i</v>
      </c>
      <c r="K67" s="27">
        <f t="shared" si="2"/>
        <v>-38.356684611699301</v>
      </c>
      <c r="L67" s="40" t="str">
        <f>IMSUM(IMPRODUCT(COMPLEX(-(Ported!C$14/Ported!C$24),0),H67),IMDIV(IMPRODUCT(COMPLEX(-Ported!C$41,0),J67),IMSUM(COMPLEX(Ported!C$41,0),IMPRODUCT(COMPLEX(Ported!C$42,0),C67))),IMDIV(IMPRODUCT(COMPLEX(Ported!C$42*Ported!C$14/Ported!C$24,0),C67,H67),IMSUM(COMPLEX(Ported!C$41,0),IMPRODUCT(COMPLEX(Ported!C$42,0),C67))))</f>
        <v>0.000197527842210688+0.000249605524350002i</v>
      </c>
      <c r="M67" s="28">
        <f t="shared" si="3"/>
        <v>51.643315388300479</v>
      </c>
      <c r="N67" s="39" t="str">
        <f>IMPRODUCT(COMPLEX((Ported!C$10*Ported!C$14)/(2*PI()),0),C67,C67,H67)</f>
        <v>-0.0181857022658853+0.0300102724510703i</v>
      </c>
      <c r="O67" s="28">
        <f t="shared" si="4"/>
        <v>121.21513296020582</v>
      </c>
      <c r="P67" s="26" t="str">
        <f>IMPRODUCT(COMPLEX((Ported!C$10*Ported!C$24)/(2*PI()),0),C67,C67,J67)</f>
        <v>-0.0555614758028435+0.0439691327103308i</v>
      </c>
      <c r="Q67" s="23">
        <f t="shared" si="5"/>
        <v>141.64331538830069</v>
      </c>
      <c r="R67" s="41" t="str">
        <f>IMPRODUCT(COMPLEX((Ported!C$10*Ported!C$24)/(2*PI()),0),C67,C67,L67)</f>
        <v>-0.00760037865421438-0.0096041979602058i</v>
      </c>
      <c r="S67" s="33">
        <f t="shared" si="6"/>
        <v>-128.35668461169951</v>
      </c>
      <c r="T67" s="38">
        <f>IMABS(IMDIV(D67,IMSUB(COMPLEX(1,0),IMPRODUCT(COMPLEX(Ported!C$18,0),IMPRODUCT(C67,H67)))))</f>
        <v>9.9047977912406875</v>
      </c>
      <c r="U67" s="21">
        <f>20*LOG10(Ported!C$29*50000*IMABS(N67))</f>
        <v>94.710400506792581</v>
      </c>
      <c r="V67" s="22">
        <f>20*LOG10(Ported!C$29*50000*IMABS(P67))</f>
        <v>100.81398449443415</v>
      </c>
      <c r="W67" s="22">
        <f>20*LOG10(Ported!C$29*50000*IMABS(R67))</f>
        <v>85.567731100478056</v>
      </c>
      <c r="X67" s="28">
        <f>1000*Ported!C$29*IMABS(H67)</f>
        <v>4.8717208734290107</v>
      </c>
      <c r="Y67" s="28">
        <f>1000*Ported!C$29*IMABS(J67)</f>
        <v>57.085040086369808</v>
      </c>
      <c r="Z67" s="28">
        <f>Ported!C$29*IMABS(IMPRODUCT(C67,J67))</f>
        <v>13.019934630234836</v>
      </c>
      <c r="AA67" s="28">
        <f>1000*Ported!C$29*IMABS(L67)</f>
        <v>9.8675569292153753</v>
      </c>
      <c r="AB67" s="41" t="str">
        <f t="shared" si="7"/>
        <v>-0.0813475567229432+0.0643752072011953i</v>
      </c>
      <c r="AC67" s="28">
        <f>20*LOG10(Ported!C$29*50000*IMABS(AB67))</f>
        <v>104.12539930709217</v>
      </c>
      <c r="AD67" s="28">
        <f t="shared" si="8"/>
        <v>160794.04674766969</v>
      </c>
      <c r="AE67" s="23">
        <f t="shared" si="9"/>
        <v>141.64331538830072</v>
      </c>
      <c r="AG67" s="64"/>
    </row>
    <row r="68" spans="2:33" s="8" customFormat="1" x14ac:dyDescent="0.25">
      <c r="B68" s="24">
        <v>37.200000000000003</v>
      </c>
      <c r="C68" s="17" t="str">
        <f t="shared" si="0"/>
        <v>233.734493427081i</v>
      </c>
      <c r="D68" s="18" t="str">
        <f>COMPLEX(Ported!C$19,2*PI()*B68*Ported!C$20)</f>
        <v>6</v>
      </c>
      <c r="E68" s="19" t="str">
        <f>IMSUB(COMPLEX(1,0),IMDIV(COMPLEX(Ported!C$41,0),IMSUM(COMPLEX(Ported!C$41,0),IMPRODUCT(C68,COMPLEX(Ported!C$42,0)))))</f>
        <v>0.986901119168378+0.113698285618477i</v>
      </c>
      <c r="F68" s="19" t="str">
        <f>IMDIV(IMPRODUCT(C68,COMPLEX((Ported!C$42*Ported!C$14/Ported!C$24),0)),IMSUM(COMPLEX(Ported!C$41,0),IMPRODUCT(C68,COMPLEX(Ported!C$42,0))))</f>
        <v>5.72709457755743+0.659803522760073i</v>
      </c>
      <c r="G68" s="30" t="str">
        <f>IMPRODUCT(F68,IMSUB(COMPLEX(1,0),IMDIV(IMPRODUCT(COMPLEX(Ported!C$41,0),E68),IMSUM(COMPLEX(0-(2*PI()*B68)^2*Ported!C$38,0),IMPRODUCT(C68,COMPLEX(0,0)),IMPRODUCT(COMPLEX(Ported!C$41,0),E68)))))</f>
        <v>14.9720010237737+4.93337618768055i</v>
      </c>
      <c r="H68" s="32" t="str">
        <f>IMDIV(COMPLEX(Ported!C$18,0),IMPRODUCT(D68,IMSUM(COMPLEX(Ported!C$16-(2*PI()*B68)^2*Ported!C$15,0),IMPRODUCT(C68,IMSUM(COMPLEX(Ported!C$17,0),IMDIV(COMPLEX(Ported!C$18^2,0),D68))),IMPRODUCT(COMPLEX(Ported!C$14*Ported!C$41/Ported!C$24,0),G68))))</f>
        <v>0.0000802730102832446-0.000144723017223434i</v>
      </c>
      <c r="I68" s="27">
        <f t="shared" si="1"/>
        <v>-60.984335519564702</v>
      </c>
      <c r="J68" s="20" t="str">
        <f>IMPRODUCT(IMDIV(IMPRODUCT(COMPLEX(-Ported!C$41,0),F68),IMSUM(IMPRODUCT(COMPLEX(Ported!C$41,0),E68),COMPLEX(Calculations!C$3-(2*PI()*B68)^2*Ported!C$38,0),IMPRODUCT(COMPLEX(Calculations!C$4,0),C68))),H68)</f>
        <v>0.00124598119089588-0.00115164945667799i</v>
      </c>
      <c r="K68" s="27">
        <f t="shared" si="2"/>
        <v>-42.746932337930964</v>
      </c>
      <c r="L68" s="40" t="str">
        <f>IMSUM(IMPRODUCT(COMPLEX(-(Ported!C$14/Ported!C$24),0),H68),IMDIV(IMPRODUCT(COMPLEX(-Ported!C$41,0),J68),IMSUM(COMPLEX(Ported!C$41,0),IMPRODUCT(COMPLEX(Ported!C$42,0),C68))),IMDIV(IMPRODUCT(COMPLEX(Ported!C$42*Ported!C$14/Ported!C$24,0),C68,H68),IMSUM(COMPLEX(Ported!C$41,0),IMPRODUCT(COMPLEX(Ported!C$42,0),C68))))</f>
        <v>0.000204006475182959+0.000220716668101553i</v>
      </c>
      <c r="M68" s="28">
        <f t="shared" si="3"/>
        <v>47.25306766206856</v>
      </c>
      <c r="N68" s="39" t="str">
        <f>IMPRODUCT(COMPLEX((Ported!C$10*Ported!C$14)/(2*PI()),0),C68,C68,H68)</f>
        <v>-0.018823908491818+0.0339373448592641i</v>
      </c>
      <c r="O68" s="28">
        <f t="shared" si="4"/>
        <v>119.01566448043526</v>
      </c>
      <c r="P68" s="26" t="str">
        <f>IMPRODUCT(COMPLEX((Ported!C$10*Ported!C$24)/(2*PI()),0),C68,C68,J68)</f>
        <v>-0.0503490204928916+0.0465371568355826i</v>
      </c>
      <c r="Q68" s="23">
        <f t="shared" si="5"/>
        <v>137.25306766206904</v>
      </c>
      <c r="R68" s="41" t="str">
        <f>IMPRODUCT(COMPLEX((Ported!C$10*Ported!C$24)/(2*PI()),0),C68,C68,L68)</f>
        <v>-0.00824372492516038-0.00891896934445496i</v>
      </c>
      <c r="S68" s="33">
        <f t="shared" si="6"/>
        <v>-132.74693233793147</v>
      </c>
      <c r="T68" s="38">
        <f>IMABS(IMDIV(D68,IMSUB(COMPLEX(1,0),IMPRODUCT(COMPLEX(Ported!C$18,0),IMPRODUCT(C68,H68)))))</f>
        <v>10.616975129268951</v>
      </c>
      <c r="U68" s="21">
        <f>20*LOG10(Ported!C$29*50000*IMABS(N68))</f>
        <v>95.585122759500948</v>
      </c>
      <c r="V68" s="22">
        <f>20*LOG10(Ported!C$29*50000*IMABS(P68))</f>
        <v>100.52828780056551</v>
      </c>
      <c r="W68" s="22">
        <f>20*LOG10(Ported!C$29*50000*IMABS(R68))</f>
        <v>85.494760703525031</v>
      </c>
      <c r="X68" s="28">
        <f>1000*Ported!C$29*IMABS(H68)</f>
        <v>5.1303368394594635</v>
      </c>
      <c r="Y68" s="28">
        <f>1000*Ported!C$29*IMABS(J68)</f>
        <v>52.597468957800977</v>
      </c>
      <c r="Z68" s="28">
        <f>Ported!C$29*IMABS(IMPRODUCT(C68,J68))</f>
        <v>12.293842762398238</v>
      </c>
      <c r="AA68" s="28">
        <f>1000*Ported!C$29*IMABS(L68)</f>
        <v>9.3172659296675509</v>
      </c>
      <c r="AB68" s="41" t="str">
        <f t="shared" si="7"/>
        <v>-0.07741665390987+0.0715555323503917i</v>
      </c>
      <c r="AC68" s="28">
        <f>20*LOG10(Ported!C$29*50000*IMABS(AB68))</f>
        <v>104.26515520705492</v>
      </c>
      <c r="AD68" s="28">
        <f t="shared" si="8"/>
        <v>163402.14766458242</v>
      </c>
      <c r="AE68" s="23">
        <f t="shared" si="9"/>
        <v>137.25306766206904</v>
      </c>
      <c r="AG68" s="64"/>
    </row>
    <row r="69" spans="2:33" s="8" customFormat="1" x14ac:dyDescent="0.25">
      <c r="B69" s="24">
        <v>38</v>
      </c>
      <c r="C69" s="17" t="str">
        <f t="shared" si="0"/>
        <v>238.761041672824i</v>
      </c>
      <c r="D69" s="18" t="str">
        <f>COMPLEX(Ported!C$19,2*PI()*B69*Ported!C$20)</f>
        <v>6</v>
      </c>
      <c r="E69" s="19" t="str">
        <f>IMSUB(COMPLEX(1,0),IMDIV(COMPLEX(Ported!C$41,0),IMSUM(COMPLEX(Ported!C$41,0),IMPRODUCT(C69,COMPLEX(Ported!C$42,0)))))</f>
        <v>0.987439991068438+0.111365412526516i</v>
      </c>
      <c r="F69" s="19" t="str">
        <f>IMDIV(IMPRODUCT(C69,COMPLEX((Ported!C$42*Ported!C$14/Ported!C$24),0)),IMSUM(COMPLEX(Ported!C$41,0),IMPRODUCT(C69,COMPLEX(Ported!C$42,0))))</f>
        <v>5.73022170982721+0.646265606371492i</v>
      </c>
      <c r="G69" s="30" t="str">
        <f>IMPRODUCT(F69,IMSUB(COMPLEX(1,0),IMDIV(IMPRODUCT(COMPLEX(Ported!C$41,0),E69),IMSUM(COMPLEX(0-(2*PI()*B69)^2*Ported!C$38,0),IMPRODUCT(C69,COMPLEX(0,0)),IMPRODUCT(COMPLEX(Ported!C$41,0),E69)))))</f>
        <v>14.1368628896355+4.23214907935519i</v>
      </c>
      <c r="H69" s="32" t="str">
        <f>IMDIV(COMPLEX(Ported!C$18,0),IMPRODUCT(D69,IMSUM(COMPLEX(Ported!C$16-(2*PI()*B69)^2*Ported!C$15,0),IMPRODUCT(C69,IMSUM(COMPLEX(Ported!C$17,0),IMDIV(COMPLEX(Ported!C$18^2,0),D69))),IMPRODUCT(COMPLEX(Ported!C$14*Ported!C$41/Ported!C$24,0),G69))))</f>
        <v>0.0000775723237713278-0.000152911925425177i</v>
      </c>
      <c r="I69" s="27">
        <f t="shared" si="1"/>
        <v>-63.101288456659049</v>
      </c>
      <c r="J69" s="20" t="str">
        <f>IMPRODUCT(IMDIV(IMPRODUCT(COMPLEX(-Ported!C$41,0),F69),IMSUM(IMPRODUCT(COMPLEX(Ported!C$41,0),E69),COMPLEX(Calculations!C$3-(2*PI()*B69)^2*Ported!C$38,0),IMPRODUCT(COMPLEX(Calculations!C$4,0),C69))),H69)</f>
        <v>0.001086840604319-0.00114269913903343i</v>
      </c>
      <c r="K69" s="27">
        <f t="shared" si="2"/>
        <v>-46.435179127605664</v>
      </c>
      <c r="L69" s="40" t="str">
        <f>IMSUM(IMPRODUCT(COMPLEX(-(Ported!C$14/Ported!C$24),0),H69),IMDIV(IMPRODUCT(COMPLEX(-Ported!C$41,0),J69),IMSUM(COMPLEX(Ported!C$41,0),IMPRODUCT(COMPLEX(Ported!C$42,0),C69))),IMDIV(IMPRODUCT(COMPLEX(Ported!C$42*Ported!C$14/Ported!C$24,0),C69,H69),IMSUM(COMPLEX(Ported!C$41,0),IMPRODUCT(COMPLEX(Ported!C$42,0),C69))))</f>
        <v>0.000206774129920336+0.000196666395067247i</v>
      </c>
      <c r="M69" s="28">
        <f t="shared" si="3"/>
        <v>43.564820872394108</v>
      </c>
      <c r="N69" s="39" t="str">
        <f>IMPRODUCT(COMPLEX((Ported!C$10*Ported!C$14)/(2*PI()),0),C69,C69,H69)</f>
        <v>-0.0189814055515212+0.0374164796031553i</v>
      </c>
      <c r="O69" s="28">
        <f t="shared" si="4"/>
        <v>116.89871154334099</v>
      </c>
      <c r="P69" s="26" t="str">
        <f>IMPRODUCT(COMPLEX((Ported!C$10*Ported!C$24)/(2*PI()),0),C69,C69,J69)</f>
        <v>-0.0458275572320581+0.0481828797939424i</v>
      </c>
      <c r="Q69" s="23">
        <f t="shared" si="5"/>
        <v>133.56482087239431</v>
      </c>
      <c r="R69" s="41" t="str">
        <f>IMPRODUCT(COMPLEX((Ported!C$10*Ported!C$24)/(2*PI()),0),C69,C69,L69)</f>
        <v>-0.00871880681985629-0.0082926055943724i</v>
      </c>
      <c r="S69" s="33">
        <f t="shared" si="6"/>
        <v>-136.43517912760589</v>
      </c>
      <c r="T69" s="38">
        <f>IMABS(IMDIV(D69,IMSUB(COMPLEX(1,0),IMPRODUCT(COMPLEX(Ported!C$18,0),IMPRODUCT(C69,H69)))))</f>
        <v>11.352510761099657</v>
      </c>
      <c r="U69" s="21">
        <f>20*LOG10(Ported!C$29*50000*IMABS(N69))</f>
        <v>96.262468046198961</v>
      </c>
      <c r="V69" s="22">
        <f>20*LOG10(Ported!C$29*50000*IMABS(P69))</f>
        <v>100.26258062795375</v>
      </c>
      <c r="W69" s="22">
        <f>20*LOG10(Ported!C$29*50000*IMABS(R69))</f>
        <v>85.413866665611579</v>
      </c>
      <c r="X69" s="28">
        <f>1000*Ported!C$29*IMABS(H69)</f>
        <v>5.3153495633655536</v>
      </c>
      <c r="Y69" s="28">
        <f>1000*Ported!C$29*IMABS(J69)</f>
        <v>48.887538826412666</v>
      </c>
      <c r="Z69" s="28">
        <f>Ported!C$29*IMABS(IMPRODUCT(C69,J69))</f>
        <v>11.672439695014917</v>
      </c>
      <c r="AA69" s="28">
        <f>1000*Ported!C$29*IMABS(L69)</f>
        <v>8.8463165495413509</v>
      </c>
      <c r="AB69" s="41" t="str">
        <f t="shared" si="7"/>
        <v>-0.0735277696034356+0.0773067538027253i</v>
      </c>
      <c r="AC69" s="28">
        <f>20*LOG10(Ported!C$29*50000*IMABS(AB69))</f>
        <v>104.36907430383967</v>
      </c>
      <c r="AD69" s="28">
        <f t="shared" si="8"/>
        <v>165368.85340053192</v>
      </c>
      <c r="AE69" s="23">
        <f t="shared" si="9"/>
        <v>133.56482087239442</v>
      </c>
      <c r="AG69" s="64"/>
    </row>
    <row r="70" spans="2:33" s="8" customFormat="1" x14ac:dyDescent="0.25">
      <c r="B70" s="24">
        <v>38.9</v>
      </c>
      <c r="C70" s="17" t="str">
        <f t="shared" si="0"/>
        <v>244.415908449286i</v>
      </c>
      <c r="D70" s="18" t="str">
        <f>COMPLEX(Ported!C$19,2*PI()*B70*Ported!C$20)</f>
        <v>6</v>
      </c>
      <c r="E70" s="19" t="str">
        <f>IMSUB(COMPLEX(1,0),IMDIV(COMPLEX(Ported!C$41,0),IMSUM(COMPLEX(Ported!C$41,0),IMPRODUCT(C70,COMPLEX(Ported!C$42,0)))))</f>
        <v>0.988007561632139+0.10885136558562i</v>
      </c>
      <c r="F70" s="19" t="str">
        <f>IMDIV(IMPRODUCT(C70,COMPLEX((Ported!C$42*Ported!C$14/Ported!C$24),0)),IMSUM(COMPLEX(Ported!C$41,0),IMPRODUCT(C70,COMPLEX(Ported!C$42,0))))</f>
        <v>5.73351538356475+0.631676318424321i</v>
      </c>
      <c r="G70" s="30" t="str">
        <f>IMPRODUCT(F70,IMSUB(COMPLEX(1,0),IMDIV(IMPRODUCT(COMPLEX(Ported!C$41,0),E70),IMSUM(COMPLEX(0-(2*PI()*B70)^2*Ported!C$38,0),IMPRODUCT(C70,COMPLEX(0,0)),IMPRODUCT(COMPLEX(Ported!C$41,0),E70)))))</f>
        <v>13.3346355789809+3.62530657655634i</v>
      </c>
      <c r="H70" s="32" t="str">
        <f>IMDIV(COMPLEX(Ported!C$18,0),IMPRODUCT(D70,IMSUM(COMPLEX(Ported!C$16-(2*PI()*B70)^2*Ported!C$15,0),IMPRODUCT(C70,IMSUM(COMPLEX(Ported!C$17,0),IMDIV(COMPLEX(Ported!C$18^2,0),D70))),IMPRODUCT(COMPLEX(Ported!C$14*Ported!C$41/Ported!C$24,0),G70))))</f>
        <v>0.0000730943006164367-0.000160881910651701i</v>
      </c>
      <c r="I70" s="27">
        <f t="shared" si="1"/>
        <v>-65.566034179113686</v>
      </c>
      <c r="J70" s="20" t="str">
        <f>IMPRODUCT(IMDIV(IMPRODUCT(COMPLEX(-Ported!C$41,0),F70),IMSUM(IMPRODUCT(COMPLEX(Ported!C$41,0),E70),COMPLEX(Calculations!C$3-(2*PI()*B70)^2*Ported!C$38,0),IMPRODUCT(COMPLEX(Calculations!C$4,0),C70))),H70)</f>
        <v>0.000926599017532066-0.00111833860531674i</v>
      </c>
      <c r="K70" s="27">
        <f t="shared" si="2"/>
        <v>-50.356566215429773</v>
      </c>
      <c r="L70" s="40" t="str">
        <f>IMSUM(IMPRODUCT(COMPLEX(-(Ported!C$14/Ported!C$24),0),H70),IMDIV(IMPRODUCT(COMPLEX(-Ported!C$41,0),J70),IMSUM(COMPLEX(Ported!C$41,0),IMPRODUCT(COMPLEX(Ported!C$42,0),C70))),IMDIV(IMPRODUCT(COMPLEX(Ported!C$42*Ported!C$14/Ported!C$24,0),C70,H70),IMSUM(COMPLEX(Ported!C$41,0),IMPRODUCT(COMPLEX(Ported!C$42,0),C70))))</f>
        <v>0.000207158913080101+0.000171641437057129i</v>
      </c>
      <c r="M70" s="28">
        <f t="shared" si="3"/>
        <v>39.64343378457</v>
      </c>
      <c r="N70" s="39" t="str">
        <f>IMPRODUCT(COMPLEX((Ported!C$10*Ported!C$14)/(2*PI()),0),C70,C70,H70)</f>
        <v>-0.0187429130858627+0.0412534991511266i</v>
      </c>
      <c r="O70" s="28">
        <f t="shared" si="4"/>
        <v>114.43396582088629</v>
      </c>
      <c r="P70" s="26" t="str">
        <f>IMPRODUCT(COMPLEX((Ported!C$10*Ported!C$24)/(2*PI()),0),C70,C70,J70)</f>
        <v>-0.0409434748281228+0.0494158397211115i</v>
      </c>
      <c r="Q70" s="23">
        <f t="shared" si="5"/>
        <v>129.64343378457022</v>
      </c>
      <c r="R70" s="41" t="str">
        <f>IMPRODUCT(COMPLEX((Ported!C$10*Ported!C$24)/(2*PI()),0),C70,C70,L70)</f>
        <v>-0.0091536960245297-0.00758429128959032i</v>
      </c>
      <c r="S70" s="33">
        <f t="shared" si="6"/>
        <v>-140.35656621542998</v>
      </c>
      <c r="T70" s="38">
        <f>IMABS(IMDIV(D70,IMSUB(COMPLEX(1,0),IMPRODUCT(COMPLEX(Ported!C$18,0),IMPRODUCT(C70,H70)))))</f>
        <v>12.309676382259942</v>
      </c>
      <c r="U70" s="21">
        <f>20*LOG10(Ported!C$29*50000*IMABS(N70))</f>
        <v>96.930836491461449</v>
      </c>
      <c r="V70" s="22">
        <f>20*LOG10(Ported!C$29*50000*IMABS(P70))</f>
        <v>99.95380674552888</v>
      </c>
      <c r="W70" s="22">
        <f>20*LOG10(Ported!C$29*50000*IMABS(R70))</f>
        <v>85.308412877364617</v>
      </c>
      <c r="X70" s="28">
        <f>1000*Ported!C$29*IMABS(H70)</f>
        <v>5.4779522711688129</v>
      </c>
      <c r="Y70" s="28">
        <f>1000*Ported!C$29*IMABS(J70)</f>
        <v>45.022278522874508</v>
      </c>
      <c r="Z70" s="28">
        <f>Ported!C$29*IMABS(IMPRODUCT(C70,J70))</f>
        <v>11.004161105625165</v>
      </c>
      <c r="AA70" s="28">
        <f>1000*Ported!C$29*IMABS(L70)</f>
        <v>8.3398411168562543</v>
      </c>
      <c r="AB70" s="41" t="str">
        <f t="shared" si="7"/>
        <v>-0.0688400839385152+0.0830850475826478i</v>
      </c>
      <c r="AC70" s="28">
        <f>20*LOG10(Ported!C$29*50000*IMABS(AB70))</f>
        <v>104.46694060977067</v>
      </c>
      <c r="AD70" s="28">
        <f t="shared" si="8"/>
        <v>167242.64617033448</v>
      </c>
      <c r="AE70" s="23">
        <f t="shared" si="9"/>
        <v>129.64343378457025</v>
      </c>
      <c r="AG70" s="64"/>
    </row>
    <row r="71" spans="2:33" s="8" customFormat="1" x14ac:dyDescent="0.25">
      <c r="B71" s="24">
        <v>39.799999999999997</v>
      </c>
      <c r="C71" s="17" t="str">
        <f t="shared" si="0"/>
        <v>250.070775225748i</v>
      </c>
      <c r="D71" s="18" t="str">
        <f>COMPLEX(Ported!C$19,2*PI()*B71*Ported!C$20)</f>
        <v>6</v>
      </c>
      <c r="E71" s="19" t="str">
        <f>IMSUB(COMPLEX(1,0),IMDIV(COMPLEX(Ported!C$41,0),IMSUM(COMPLEX(Ported!C$41,0),IMPRODUCT(C71,COMPLEX(Ported!C$42,0)))))</f>
        <v>0.988537654315013+0.106446983594582i</v>
      </c>
      <c r="F71" s="19" t="str">
        <f>IMDIV(IMPRODUCT(C71,COMPLEX((Ported!C$42*Ported!C$14/Ported!C$24),0)),IMSUM(COMPLEX(Ported!C$41,0),IMPRODUCT(C71,COMPLEX(Ported!C$42,0))))</f>
        <v>5.73659156908194+0.617723428113634i</v>
      </c>
      <c r="G71" s="30" t="str">
        <f>IMPRODUCT(F71,IMSUB(COMPLEX(1,0),IMDIV(IMPRODUCT(COMPLEX(Ported!C$41,0),E71),IMSUM(COMPLEX(0-(2*PI()*B71)^2*Ported!C$38,0),IMPRODUCT(C71,COMPLEX(0,0)),IMPRODUCT(COMPLEX(Ported!C$41,0),E71)))))</f>
        <v>12.651654008754+3.15480190933955i</v>
      </c>
      <c r="H71" s="32" t="str">
        <f>IMDIV(COMPLEX(Ported!C$18,0),IMPRODUCT(D71,IMSUM(COMPLEX(Ported!C$16-(2*PI()*B71)^2*Ported!C$15,0),IMPRODUCT(C71,IMSUM(COMPLEX(Ported!C$17,0),IMDIV(COMPLEX(Ported!C$18^2,0),D71))),IMPRODUCT(COMPLEX(Ported!C$14*Ported!C$41/Ported!C$24,0),G71))))</f>
        <v>0.0000674908538208359-0.000167491282018741i</v>
      </c>
      <c r="I71" s="27">
        <f t="shared" si="1"/>
        <v>-68.052958662156541</v>
      </c>
      <c r="J71" s="20" t="str">
        <f>IMPRODUCT(IMDIV(IMPRODUCT(COMPLEX(-Ported!C$41,0),F71),IMSUM(IMPRODUCT(COMPLEX(Ported!C$41,0),E71),COMPLEX(Calculations!C$3-(2*PI()*B71)^2*Ported!C$38,0),IMPRODUCT(COMPLEX(Calculations!C$4,0),C71))),H71)</f>
        <v>0.000785362410574456-0.00108299621700092i</v>
      </c>
      <c r="K71" s="27">
        <f t="shared" si="2"/>
        <v>-54.051294637757671</v>
      </c>
      <c r="L71" s="40" t="str">
        <f>IMSUM(IMPRODUCT(COMPLEX(-(Ported!C$14/Ported!C$24),0),H71),IMDIV(IMPRODUCT(COMPLEX(-Ported!C$41,0),J71),IMSUM(COMPLEX(Ported!C$41,0),IMPRODUCT(COMPLEX(Ported!C$42,0),C71))),IMDIV(IMPRODUCT(COMPLEX(Ported!C$42*Ported!C$14/Ported!C$24,0),C71,H71),IMSUM(COMPLEX(Ported!C$41,0),IMPRODUCT(COMPLEX(Ported!C$42,0),C71))))</f>
        <v>0.000205253568745889+0.000148844875908871i</v>
      </c>
      <c r="M71" s="28">
        <f t="shared" si="3"/>
        <v>35.948705362241896</v>
      </c>
      <c r="N71" s="39" t="str">
        <f>IMPRODUCT(COMPLEX((Ported!C$10*Ported!C$14)/(2*PI()),0),C71,C71,H71)</f>
        <v>-0.0181161304868768+0.0449585943677754i</v>
      </c>
      <c r="O71" s="28">
        <f t="shared" si="4"/>
        <v>111.9470413378435</v>
      </c>
      <c r="P71" s="26" t="str">
        <f>IMPRODUCT(COMPLEX((Ported!C$10*Ported!C$24)/(2*PI()),0),C71,C71,J71)</f>
        <v>-0.0363270318848145+0.0500941190670801i</v>
      </c>
      <c r="Q71" s="23">
        <f t="shared" si="5"/>
        <v>125.94870536224238</v>
      </c>
      <c r="R71" s="41" t="str">
        <f>IMPRODUCT(COMPLEX((Ported!C$10*Ported!C$24)/(2*PI()),0),C71,C71,L71)</f>
        <v>-0.00949402828033235-0.00688483747150284i</v>
      </c>
      <c r="S71" s="33">
        <f t="shared" si="6"/>
        <v>-144.0512946377581</v>
      </c>
      <c r="T71" s="38">
        <f>IMABS(IMDIV(D71,IMSUB(COMPLEX(1,0),IMPRODUCT(COMPLEX(Ported!C$18,0),IMPRODUCT(C71,H71)))))</f>
        <v>13.422664129833112</v>
      </c>
      <c r="U71" s="21">
        <f>20*LOG10(Ported!C$29*50000*IMABS(N71))</f>
        <v>97.516331877905884</v>
      </c>
      <c r="V71" s="22">
        <f>20*LOG10(Ported!C$29*50000*IMABS(P71))</f>
        <v>99.63757157076806</v>
      </c>
      <c r="W71" s="22">
        <f>20*LOG10(Ported!C$29*50000*IMABS(R71))</f>
        <v>85.190847117563408</v>
      </c>
      <c r="X71" s="28">
        <f>1000*Ported!C$29*IMABS(H71)</f>
        <v>5.5979120617046805</v>
      </c>
      <c r="Y71" s="28">
        <f>1000*Ported!C$29*IMABS(J71)</f>
        <v>41.471407017659054</v>
      </c>
      <c r="Z71" s="28">
        <f>Ported!C$29*IMABS(IMPRODUCT(C71,J71))</f>
        <v>10.370786902608506</v>
      </c>
      <c r="AA71" s="28">
        <f>1000*Ported!C$29*IMABS(L71)</f>
        <v>7.8598190442991633</v>
      </c>
      <c r="AB71" s="41" t="str">
        <f t="shared" si="7"/>
        <v>-0.0639371906520237+0.0881678759633527i</v>
      </c>
      <c r="AC71" s="28">
        <f>20*LOG10(Ported!C$29*50000*IMABS(AB71))</f>
        <v>104.54804426492905</v>
      </c>
      <c r="AD71" s="28">
        <f t="shared" si="8"/>
        <v>168811.57166385435</v>
      </c>
      <c r="AE71" s="23">
        <f t="shared" si="9"/>
        <v>125.94870536224229</v>
      </c>
      <c r="AG71" s="64"/>
    </row>
    <row r="72" spans="2:33" s="8" customFormat="1" x14ac:dyDescent="0.25">
      <c r="B72" s="24">
        <v>40.700000000000003</v>
      </c>
      <c r="C72" s="17" t="str">
        <f t="shared" si="0"/>
        <v>255.725642002209i</v>
      </c>
      <c r="D72" s="18" t="str">
        <f>COMPLEX(Ported!C$19,2*PI()*B72*Ported!C$20)</f>
        <v>6</v>
      </c>
      <c r="E72" s="19" t="str">
        <f>IMSUB(COMPLEX(1,0),IMDIV(COMPLEX(Ported!C$41,0),IMSUM(COMPLEX(Ported!C$41,0),IMPRODUCT(C72,COMPLEX(Ported!C$42,0)))))</f>
        <v>0.98903348576382+0.104145330196261i</v>
      </c>
      <c r="F72" s="19" t="str">
        <f>IMDIV(IMPRODUCT(C72,COMPLEX((Ported!C$42*Ported!C$14/Ported!C$24),0)),IMSUM(COMPLEX(Ported!C$41,0),IMPRODUCT(C72,COMPLEX(Ported!C$42,0))))</f>
        <v>5.73946893292995+0.604366683004209i</v>
      </c>
      <c r="G72" s="30" t="str">
        <f>IMPRODUCT(F72,IMSUB(COMPLEX(1,0),IMDIV(IMPRODUCT(COMPLEX(Ported!C$41,0),E72),IMSUM(COMPLEX(0-(2*PI()*B72)^2*Ported!C$38,0),IMPRODUCT(C72,COMPLEX(0,0)),IMPRODUCT(COMPLEX(Ported!C$41,0),E72)))))</f>
        <v>12.0656234950332+2.7820453272795i</v>
      </c>
      <c r="H72" s="32" t="str">
        <f>IMDIV(COMPLEX(Ported!C$18,0),IMPRODUCT(D72,IMSUM(COMPLEX(Ported!C$16-(2*PI()*B72)^2*Ported!C$15,0),IMPRODUCT(C72,IMSUM(COMPLEX(Ported!C$17,0),IMDIV(COMPLEX(Ported!C$18^2,0),D72))),IMPRODUCT(COMPLEX(Ported!C$14*Ported!C$41/Ported!C$24,0),G72))))</f>
        <v>0.0000611148396728323-0.000172763456382026i</v>
      </c>
      <c r="I72" s="27">
        <f t="shared" si="1"/>
        <v>-70.518835434466155</v>
      </c>
      <c r="J72" s="20" t="str">
        <f>IMPRODUCT(IMDIV(IMPRODUCT(COMPLEX(-Ported!C$41,0),F72),IMSUM(IMPRODUCT(COMPLEX(Ported!C$41,0),E72),COMPLEX(Calculations!C$3-(2*PI()*B72)^2*Ported!C$38,0),IMPRODUCT(COMPLEX(Calculations!C$4,0),C72))),H72)</f>
        <v>0.000661773974369654-0.00104016752762781i</v>
      </c>
      <c r="K72" s="27">
        <f t="shared" si="2"/>
        <v>-57.534721031482228</v>
      </c>
      <c r="L72" s="40" t="str">
        <f>IMSUM(IMPRODUCT(COMPLEX(-(Ported!C$14/Ported!C$24),0),H72),IMDIV(IMPRODUCT(COMPLEX(-Ported!C$41,0),J72),IMSUM(COMPLEX(Ported!C$41,0),IMPRODUCT(COMPLEX(Ported!C$42,0),C72))),IMDIV(IMPRODUCT(COMPLEX(Ported!C$42*Ported!C$14/Ported!C$24,0),C72,H72),IMSUM(COMPLEX(Ported!C$41,0),IMPRODUCT(COMPLEX(Ported!C$42,0),C72))))</f>
        <v>0.000201594373211677+0.000128258098842124i</v>
      </c>
      <c r="M72" s="28">
        <f t="shared" si="3"/>
        <v>32.465278968518675</v>
      </c>
      <c r="N72" s="39" t="str">
        <f>IMPRODUCT(COMPLEX((Ported!C$10*Ported!C$14)/(2*PI()),0),C72,C72,H72)</f>
        <v>-0.0171549662842246+0.0484947892401533i</v>
      </c>
      <c r="O72" s="28">
        <f t="shared" si="4"/>
        <v>109.48116456553385</v>
      </c>
      <c r="P72" s="26" t="str">
        <f>IMPRODUCT(COMPLEX((Ported!C$10*Ported!C$24)/(2*PI()),0),C72,C72,J72)</f>
        <v>-0.0320104781982788+0.0503136437140832i</v>
      </c>
      <c r="Q72" s="23">
        <f t="shared" si="5"/>
        <v>122.46527896851775</v>
      </c>
      <c r="R72" s="41" t="str">
        <f>IMPRODUCT(COMPLEX((Ported!C$10*Ported!C$24)/(2*PI()),0),C72,C72,L72)</f>
        <v>-0.00975126332934857-0.00620393553652382i</v>
      </c>
      <c r="S72" s="33">
        <f t="shared" si="6"/>
        <v>-147.53472103148133</v>
      </c>
      <c r="T72" s="38">
        <f>IMABS(IMDIV(D72,IMSUB(COMPLEX(1,0),IMPRODUCT(COMPLEX(Ported!C$18,0),IMPRODUCT(C72,H72)))))</f>
        <v>14.713919337248567</v>
      </c>
      <c r="U72" s="21">
        <f>20*LOG10(Ported!C$29*50000*IMABS(N72))</f>
        <v>98.032593831815106</v>
      </c>
      <c r="V72" s="22">
        <f>20*LOG10(Ported!C$29*50000*IMABS(P72))</f>
        <v>99.316414475990229</v>
      </c>
      <c r="W72" s="22">
        <f>20*LOG10(Ported!C$29*50000*IMABS(R72))</f>
        <v>85.063916765816401</v>
      </c>
      <c r="X72" s="28">
        <f>1000*Ported!C$29*IMABS(H72)</f>
        <v>5.6808915062001919</v>
      </c>
      <c r="Y72" s="28">
        <f>1000*Ported!C$29*IMABS(J72)</f>
        <v>38.218025077385519</v>
      </c>
      <c r="Z72" s="28">
        <f>Ported!C$29*IMABS(IMPRODUCT(C72,J72))</f>
        <v>9.7733289989709267</v>
      </c>
      <c r="AA72" s="28">
        <f>1000*Ported!C$29*IMABS(L72)</f>
        <v>7.4070172411886546</v>
      </c>
      <c r="AB72" s="41" t="str">
        <f t="shared" si="7"/>
        <v>-0.058916707811852+0.0926044974177127i</v>
      </c>
      <c r="AC72" s="28">
        <f>20*LOG10(Ported!C$29*50000*IMABS(AB72))</f>
        <v>104.61534065621251</v>
      </c>
      <c r="AD72" s="28">
        <f t="shared" si="8"/>
        <v>170124.56698490609</v>
      </c>
      <c r="AE72" s="23">
        <f t="shared" si="9"/>
        <v>122.46527896851779</v>
      </c>
      <c r="AG72" s="64"/>
    </row>
    <row r="73" spans="2:33" s="8" customFormat="1" x14ac:dyDescent="0.25">
      <c r="B73" s="24">
        <v>41.7</v>
      </c>
      <c r="C73" s="17" t="str">
        <f t="shared" si="0"/>
        <v>262.008827309389i</v>
      </c>
      <c r="D73" s="18" t="str">
        <f>COMPLEX(Ported!C$19,2*PI()*B73*Ported!C$20)</f>
        <v>6</v>
      </c>
      <c r="E73" s="19" t="str">
        <f>IMSUB(COMPLEX(1,0),IMDIV(COMPLEX(Ported!C$41,0),IMSUM(COMPLEX(Ported!C$41,0),IMPRODUCT(C73,COMPLEX(Ported!C$42,0)))))</f>
        <v>0.989547719364627+0.101700690582182i</v>
      </c>
      <c r="F73" s="19" t="str">
        <f>IMDIV(IMPRODUCT(C73,COMPLEX((Ported!C$42*Ported!C$14/Ported!C$24),0)),IMSUM(COMPLEX(Ported!C$41,0),IMPRODUCT(C73,COMPLEX(Ported!C$42,0))))</f>
        <v>5.74245308646831+0.590180173326653i</v>
      </c>
      <c r="G73" s="30" t="str">
        <f>IMPRODUCT(F73,IMSUB(COMPLEX(1,0),IMDIV(IMPRODUCT(COMPLEX(Ported!C$41,0),E73),IMSUM(COMPLEX(0-(2*PI()*B73)^2*Ported!C$38,0),IMPRODUCT(C73,COMPLEX(0,0)),IMPRODUCT(COMPLEX(Ported!C$41,0),E73)))))</f>
        <v>11.5067243245423+2.45135359650464i</v>
      </c>
      <c r="H73" s="32" t="str">
        <f>IMDIV(COMPLEX(Ported!C$18,0),IMPRODUCT(D73,IMSUM(COMPLEX(Ported!C$16-(2*PI()*B73)^2*Ported!C$15,0),IMPRODUCT(C73,IMSUM(COMPLEX(Ported!C$17,0),IMDIV(COMPLEX(Ported!C$18^2,0),D73))),IMPRODUCT(COMPLEX(Ported!C$14*Ported!C$41/Ported!C$24,0),G73))))</f>
        <v>0.0000534752826096102-0.000177140594662422i</v>
      </c>
      <c r="I73" s="27">
        <f t="shared" si="1"/>
        <v>-73.201961209660226</v>
      </c>
      <c r="J73" s="20" t="str">
        <f>IMPRODUCT(IMDIV(IMPRODUCT(COMPLEX(-Ported!C$41,0),F73),IMSUM(IMPRODUCT(COMPLEX(Ported!C$41,0),E73),COMPLEX(Calculations!C$3-(2*PI()*B73)^2*Ported!C$38,0),IMPRODUCT(COMPLEX(Calculations!C$4,0),C73))),H73)</f>
        <v>0.000543222177412386-0.000987123421726i</v>
      </c>
      <c r="K73" s="27">
        <f t="shared" si="2"/>
        <v>-61.175647733945716</v>
      </c>
      <c r="L73" s="40" t="str">
        <f>IMSUM(IMPRODUCT(COMPLEX(-(Ported!C$14/Ported!C$24),0),H73),IMDIV(IMPRODUCT(COMPLEX(-Ported!C$41,0),J73),IMSUM(COMPLEX(Ported!C$41,0),IMPRODUCT(COMPLEX(Ported!C$42,0),C73))),IMDIV(IMPRODUCT(COMPLEX(Ported!C$42*Ported!C$14/Ported!C$24,0),C73,H73),IMSUM(COMPLEX(Ported!C$41,0),IMPRODUCT(COMPLEX(Ported!C$42,0),C73))))</f>
        <v>0.000196014508028451+0.000107868403800458i</v>
      </c>
      <c r="M73" s="28">
        <f t="shared" si="3"/>
        <v>28.824352266053648</v>
      </c>
      <c r="N73" s="39" t="str">
        <f>IMPRODUCT(COMPLEX((Ported!C$10*Ported!C$14)/(2*PI()),0),C73,C73,H73)</f>
        <v>-0.0157572190343638+0.0521968844998982i</v>
      </c>
      <c r="O73" s="28">
        <f t="shared" si="4"/>
        <v>106.79803879033979</v>
      </c>
      <c r="P73" s="26" t="str">
        <f>IMPRODUCT(COMPLEX((Ported!C$10*Ported!C$24)/(2*PI()),0),C73,C73,J73)</f>
        <v>-0.0275831119388684+0.0501230195877608i</v>
      </c>
      <c r="Q73" s="23">
        <f t="shared" si="5"/>
        <v>118.82435226605426</v>
      </c>
      <c r="R73" s="41" t="str">
        <f>IMPRODUCT(COMPLEX((Ported!C$10*Ported!C$24)/(2*PI()),0),C73,C73,L73)</f>
        <v>-0.00995299960385548-0.00547721794214665i</v>
      </c>
      <c r="S73" s="33">
        <f t="shared" si="6"/>
        <v>-151.17564773394636</v>
      </c>
      <c r="T73" s="38">
        <f>IMABS(IMDIV(D73,IMSUB(COMPLEX(1,0),IMPRODUCT(COMPLEX(Ported!C$18,0),IMPRODUCT(C73,H73)))))</f>
        <v>16.387917038922531</v>
      </c>
      <c r="U73" s="21">
        <f>20*LOG10(Ported!C$29*50000*IMABS(N73))</f>
        <v>98.5382977574004</v>
      </c>
      <c r="V73" s="22">
        <f>20*LOG10(Ported!C$29*50000*IMABS(P73))</f>
        <v>98.956286620858563</v>
      </c>
      <c r="W73" s="22">
        <f>20*LOG10(Ported!C$29*50000*IMABS(R73))</f>
        <v>84.914621825655388</v>
      </c>
      <c r="X73" s="28">
        <f>1000*Ported!C$29*IMABS(H73)</f>
        <v>5.7361222684458477</v>
      </c>
      <c r="Y73" s="28">
        <f>1000*Ported!C$29*IMABS(J73)</f>
        <v>34.928389132428435</v>
      </c>
      <c r="Z73" s="28">
        <f>Ported!C$29*IMABS(IMPRODUCT(C73,J73))</f>
        <v>9.1515462763935886</v>
      </c>
      <c r="AA73" s="28">
        <f>1000*Ported!C$29*IMABS(L73)</f>
        <v>6.9357801277251196</v>
      </c>
      <c r="AB73" s="41" t="str">
        <f t="shared" si="7"/>
        <v>-0.0532933305770877+0.0968426861455124i</v>
      </c>
      <c r="AC73" s="28">
        <f>20*LOG10(Ported!C$29*50000*IMABS(AB73))</f>
        <v>104.67687863102235</v>
      </c>
      <c r="AD73" s="28">
        <f t="shared" si="8"/>
        <v>171334.14889526385</v>
      </c>
      <c r="AE73" s="23">
        <f t="shared" si="9"/>
        <v>118.82435226605433</v>
      </c>
      <c r="AG73" s="64"/>
    </row>
    <row r="74" spans="2:33" s="8" customFormat="1" x14ac:dyDescent="0.25">
      <c r="B74" s="24">
        <v>42.7</v>
      </c>
      <c r="C74" s="17" t="str">
        <f t="shared" si="0"/>
        <v>268.292012616568i</v>
      </c>
      <c r="D74" s="18" t="str">
        <f>COMPLEX(Ported!C$19,2*PI()*B74*Ported!C$20)</f>
        <v>6</v>
      </c>
      <c r="E74" s="19" t="str">
        <f>IMSUB(COMPLEX(1,0),IMDIV(COMPLEX(Ported!C$41,0),IMSUM(COMPLEX(Ported!C$41,0),IMPRODUCT(C74,COMPLEX(Ported!C$42,0)))))</f>
        <v>0.990026729473153+0.0993670186824848i</v>
      </c>
      <c r="F74" s="19" t="str">
        <f>IMDIV(IMPRODUCT(C74,COMPLEX((Ported!C$42*Ported!C$14/Ported!C$24),0)),IMSUM(COMPLEX(Ported!C$41,0),IMPRODUCT(C74,COMPLEX(Ported!C$42,0))))</f>
        <v>5.74523283424835+0.57663762136986i</v>
      </c>
      <c r="G74" s="30" t="str">
        <f>IMPRODUCT(F74,IMSUB(COMPLEX(1,0),IMDIV(IMPRODUCT(COMPLEX(Ported!C$41,0),E74),IMSUM(COMPLEX(0-(2*PI()*B74)^2*Ported!C$38,0),IMPRODUCT(C74,COMPLEX(0,0)),IMPRODUCT(COMPLEX(Ported!C$41,0),E74)))))</f>
        <v>11.0266529153248+2.18552944741571i</v>
      </c>
      <c r="H74" s="32" t="str">
        <f>IMDIV(COMPLEX(Ported!C$18,0),IMPRODUCT(D74,IMSUM(COMPLEX(Ported!C$16-(2*PI()*B74)^2*Ported!C$15,0),IMPRODUCT(C74,IMSUM(COMPLEX(Ported!C$17,0),IMDIV(COMPLEX(Ported!C$18^2,0),D74))),IMPRODUCT(COMPLEX(Ported!C$14*Ported!C$41/Ported!C$24,0),G74))))</f>
        <v>0.0000455539685131952-0.000180092738888172i</v>
      </c>
      <c r="I74" s="27">
        <f t="shared" si="1"/>
        <v>-75.804933690731474</v>
      </c>
      <c r="J74" s="20" t="str">
        <f>IMPRODUCT(IMDIV(IMPRODUCT(COMPLEX(-Ported!C$41,0),F74),IMSUM(IMPRODUCT(COMPLEX(Ported!C$41,0),E74),COMPLEX(Calculations!C$3-(2*PI()*B74)^2*Ported!C$38,0),IMPRODUCT(COMPLEX(Calculations!C$4,0),C74))),H74)</f>
        <v>0.000442230915232815-0.000931083111404149i</v>
      </c>
      <c r="K74" s="27">
        <f t="shared" si="2"/>
        <v>-64.593967044002767</v>
      </c>
      <c r="L74" s="40" t="str">
        <f>IMSUM(IMPRODUCT(COMPLEX(-(Ported!C$14/Ported!C$24),0),H74),IMDIV(IMPRODUCT(COMPLEX(-Ported!C$41,0),J74),IMSUM(COMPLEX(Ported!C$41,0),IMPRODUCT(COMPLEX(Ported!C$42,0),C74))),IMDIV(IMPRODUCT(COMPLEX(Ported!C$42*Ported!C$14/Ported!C$24,0),C74,H74),IMSUM(COMPLEX(Ported!C$41,0),IMPRODUCT(COMPLEX(Ported!C$42,0),C74))))</f>
        <v>0.000189320232652178+0.0000899202860973434i</v>
      </c>
      <c r="M74" s="28">
        <f t="shared" si="3"/>
        <v>25.406032955998185</v>
      </c>
      <c r="N74" s="39" t="str">
        <f>IMPRODUCT(COMPLEX((Ported!C$10*Ported!C$14)/(2*PI()),0),C74,C74,H74)</f>
        <v>-0.0140746090705611+0.0556424605589179i</v>
      </c>
      <c r="O74" s="28">
        <f t="shared" si="4"/>
        <v>104.19506630926855</v>
      </c>
      <c r="P74" s="26" t="str">
        <f>IMPRODUCT(COMPLEX((Ported!C$10*Ported!C$24)/(2*PI()),0),C74,C74,J74)</f>
        <v>-0.0235449899673075+0.0495721618765595i</v>
      </c>
      <c r="Q74" s="23">
        <f t="shared" si="5"/>
        <v>115.40603295599722</v>
      </c>
      <c r="R74" s="41" t="str">
        <f>IMPRODUCT(COMPLEX((Ported!C$10*Ported!C$24)/(2*PI()),0),C74,C74,L74)</f>
        <v>-0.0100796729149005-0.00478748129335277i</v>
      </c>
      <c r="S74" s="33">
        <f t="shared" si="6"/>
        <v>-154.59396704400183</v>
      </c>
      <c r="T74" s="38">
        <f>IMABS(IMDIV(D74,IMSUB(COMPLEX(1,0),IMPRODUCT(COMPLEX(Ported!C$18,0),IMPRODUCT(C74,H74)))))</f>
        <v>18.345793743083174</v>
      </c>
      <c r="U74" s="21">
        <f>20*LOG10(Ported!C$29*50000*IMABS(N74))</f>
        <v>98.984104637400904</v>
      </c>
      <c r="V74" s="22">
        <f>20*LOG10(Ported!C$29*50000*IMABS(P74))</f>
        <v>98.594845916437052</v>
      </c>
      <c r="W74" s="22">
        <f>20*LOG10(Ported!C$29*50000*IMABS(R74))</f>
        <v>84.759017522259256</v>
      </c>
      <c r="X74" s="28">
        <f>1000*Ported!C$29*IMABS(H74)</f>
        <v>5.7587086104690384</v>
      </c>
      <c r="Y74" s="28">
        <f>1000*Ported!C$29*IMABS(J74)</f>
        <v>31.953827141098866</v>
      </c>
      <c r="Z74" s="28">
        <f>Ported!C$29*IMABS(IMPRODUCT(C74,J74))</f>
        <v>8.5729565944873229</v>
      </c>
      <c r="AA74" s="28">
        <f>1000*Ported!C$29*IMABS(L74)</f>
        <v>6.4972781853568558</v>
      </c>
      <c r="AB74" s="41" t="str">
        <f t="shared" si="7"/>
        <v>-0.0476992719527691+0.100427141142125i</v>
      </c>
      <c r="AC74" s="28">
        <f>20*LOG10(Ported!C$29*50000*IMABS(AB74))</f>
        <v>104.72711072865152</v>
      </c>
      <c r="AD74" s="28">
        <f t="shared" si="8"/>
        <v>172327.8764819779</v>
      </c>
      <c r="AE74" s="23">
        <f t="shared" si="9"/>
        <v>115.40603295599716</v>
      </c>
      <c r="AG74" s="64"/>
    </row>
    <row r="75" spans="2:33" s="8" customFormat="1" x14ac:dyDescent="0.25">
      <c r="B75" s="24">
        <v>43.7</v>
      </c>
      <c r="C75" s="17" t="str">
        <f t="shared" ref="C75:C138" si="10">COMPLEX(0,2*PI()*B75)</f>
        <v>274.575197923748i</v>
      </c>
      <c r="D75" s="18" t="str">
        <f>COMPLEX(Ported!C$19,2*PI()*B75*Ported!C$20)</f>
        <v>6</v>
      </c>
      <c r="E75" s="19" t="str">
        <f>IMSUB(COMPLEX(1,0),IMDIV(COMPLEX(Ported!C$41,0),IMSUM(COMPLEX(Ported!C$41,0),IMPRODUCT(C75,COMPLEX(Ported!C$42,0)))))</f>
        <v>0.99047365112457+0.0971370040331388i</v>
      </c>
      <c r="F75" s="19" t="str">
        <f>IMDIV(IMPRODUCT(C75,COMPLEX((Ported!C$42*Ported!C$14/Ported!C$24),0)),IMSUM(COMPLEX(Ported!C$41,0),IMPRODUCT(C75,COMPLEX(Ported!C$42,0))))</f>
        <v>5.74782636922031+0.563696603715626i</v>
      </c>
      <c r="G75" s="30" t="str">
        <f>IMPRODUCT(F75,IMSUB(COMPLEX(1,0),IMDIV(IMPRODUCT(COMPLEX(Ported!C$41,0),E75),IMSUM(COMPLEX(0-(2*PI()*B75)^2*Ported!C$38,0),IMPRODUCT(C75,COMPLEX(0,0)),IMPRODUCT(COMPLEX(Ported!C$41,0),E75)))))</f>
        <v>10.6107121878967+1.9681633087288i</v>
      </c>
      <c r="H75" s="32" t="str">
        <f>IMDIV(COMPLEX(Ported!C$18,0),IMPRODUCT(D75,IMSUM(COMPLEX(Ported!C$16-(2*PI()*B75)^2*Ported!C$15,0),IMPRODUCT(C75,IMSUM(COMPLEX(Ported!C$17,0),IMDIV(COMPLEX(Ported!C$18^2,0),D75))),IMPRODUCT(COMPLEX(Ported!C$14*Ported!C$41/Ported!C$24,0),G75))))</f>
        <v>0.0000375901411893453-0.000181777642385093i</v>
      </c>
      <c r="I75" s="27">
        <f t="shared" ref="I75:I138" si="11">(180/PI())*IMARGUMENT(H75)</f>
        <v>-78.316381775448917</v>
      </c>
      <c r="J75" s="20" t="str">
        <f>IMPRODUCT(IMDIV(IMPRODUCT(COMPLEX(-Ported!C$41,0),F75),IMSUM(IMPRODUCT(COMPLEX(Ported!C$41,0),E75),COMPLEX(Calculations!C$3-(2*PI()*B75)^2*Ported!C$38,0),IMPRODUCT(COMPLEX(Calculations!C$4,0),C75))),H75)</f>
        <v>0.000356583335419308-0.000874134565293556i</v>
      </c>
      <c r="K75" s="27">
        <f t="shared" ref="K75:K138" si="12">(180/PI())*IMARGUMENT(J75)</f>
        <v>-67.808112519163274</v>
      </c>
      <c r="L75" s="40" t="str">
        <f>IMSUM(IMPRODUCT(COMPLEX(-(Ported!C$14/Ported!C$24),0),H75),IMDIV(IMPRODUCT(COMPLEX(-Ported!C$41,0),J75),IMSUM(COMPLEX(Ported!C$41,0),IMPRODUCT(COMPLEX(Ported!C$42,0),C75))),IMDIV(IMPRODUCT(COMPLEX(Ported!C$42*Ported!C$14/Ported!C$24,0),C75,H75),IMSUM(COMPLEX(Ported!C$41,0),IMPRODUCT(COMPLEX(Ported!C$42,0),C75))))</f>
        <v>0.000181903240492041+0.0000742032940848746i</v>
      </c>
      <c r="M75" s="28">
        <f t="shared" ref="M75:M138" si="13">(180/PI())*IMARGUMENT(L75)</f>
        <v>22.191887480836503</v>
      </c>
      <c r="N75" s="39" t="str">
        <f>IMPRODUCT(COMPLEX((Ported!C$10*Ported!C$14)/(2*PI()),0),C75,C75,H75)</f>
        <v>-0.0121644143394679+0.0588244281522054i</v>
      </c>
      <c r="O75" s="28">
        <f t="shared" ref="O75:O138" si="14">(180/PI())*IMARGUMENT(N75)</f>
        <v>101.68361822455104</v>
      </c>
      <c r="P75" s="26" t="str">
        <f>IMPRODUCT(COMPLEX((Ported!C$10*Ported!C$24)/(2*PI()),0),C75,C75,J75)</f>
        <v>-0.0198846328632655+0.0487455334487607i</v>
      </c>
      <c r="Q75" s="23">
        <f t="shared" ref="Q75:Q138" si="15">(180/PI())*IMARGUMENT(P75)</f>
        <v>112.19188748083674</v>
      </c>
      <c r="R75" s="41" t="str">
        <f>IMPRODUCT(COMPLEX((Ported!C$10*Ported!C$24)/(2*PI()),0),C75,C75,L75)</f>
        <v>-0.0101437133890993-0.0041378974101176i</v>
      </c>
      <c r="S75" s="33">
        <f t="shared" ref="S75:S138" si="16">(180/PI())*IMARGUMENT(R75)</f>
        <v>-157.8081125191635</v>
      </c>
      <c r="T75" s="38">
        <f>IMABS(IMDIV(D75,IMSUB(COMPLEX(1,0),IMPRODUCT(COMPLEX(Ported!C$18,0),IMPRODUCT(C75,H75)))))</f>
        <v>20.609313663577204</v>
      </c>
      <c r="U75" s="21">
        <f>20*LOG10(Ported!C$29*50000*IMABS(N75))</f>
        <v>99.379643885835932</v>
      </c>
      <c r="V75" s="22">
        <f>20*LOG10(Ported!C$29*50000*IMABS(P75))</f>
        <v>98.233822994417039</v>
      </c>
      <c r="W75" s="22">
        <f>20*LOG10(Ported!C$29*50000*IMABS(R75))</f>
        <v>84.59906583914713</v>
      </c>
      <c r="X75" s="28">
        <f>1000*Ported!C$29*IMABS(H75)</f>
        <v>5.7543323606022865</v>
      </c>
      <c r="Y75" s="28">
        <f>1000*Ported!C$29*IMABS(J75)</f>
        <v>29.266083778316908</v>
      </c>
      <c r="Z75" s="28">
        <f>Ported!C$29*IMABS(IMPRODUCT(C75,J75))</f>
        <v>8.0357407458843682</v>
      </c>
      <c r="AA75" s="28">
        <f>1000*Ported!C$29*IMABS(L75)</f>
        <v>6.0901326719640654</v>
      </c>
      <c r="AB75" s="41" t="str">
        <f t="shared" ref="AB75:AB138" si="17">IMSUM(N75,P75,R75)</f>
        <v>-0.0421927605918327+0.103432064190849i</v>
      </c>
      <c r="AC75" s="28">
        <f>20*LOG10(Ported!C$29*50000*IMABS(AB75))</f>
        <v>104.76823028444744</v>
      </c>
      <c r="AD75" s="28">
        <f t="shared" ref="AD75:AD138" si="18">10^(AC75/20)</f>
        <v>173145.6217474415</v>
      </c>
      <c r="AE75" s="23">
        <f t="shared" ref="AE75:AE138" si="19">(180/PI())*IMARGUMENT(AB75)</f>
        <v>112.19188748083666</v>
      </c>
      <c r="AG75" s="64"/>
    </row>
    <row r="76" spans="2:33" s="8" customFormat="1" x14ac:dyDescent="0.25">
      <c r="B76" s="24">
        <v>44.7</v>
      </c>
      <c r="C76" s="17" t="str">
        <f t="shared" si="10"/>
        <v>280.858383230928i</v>
      </c>
      <c r="D76" s="18" t="str">
        <f>COMPLEX(Ported!C$19,2*PI()*B76*Ported!C$20)</f>
        <v>6</v>
      </c>
      <c r="E76" s="19" t="str">
        <f>IMSUB(COMPLEX(1,0),IMDIV(COMPLEX(Ported!C$41,0),IMSUM(COMPLEX(Ported!C$41,0),IMPRODUCT(C76,COMPLEX(Ported!C$42,0)))))</f>
        <v>0.990891279219638+0.0950039577391793i</v>
      </c>
      <c r="F76" s="19" t="str">
        <f>IMDIV(IMPRODUCT(C76,COMPLEX((Ported!C$42*Ported!C$14/Ported!C$24),0)),IMSUM(COMPLEX(Ported!C$41,0),IMPRODUCT(C76,COMPLEX(Ported!C$42,0))))</f>
        <v>5.75024991049739+0.551318303978658i</v>
      </c>
      <c r="G76" s="30" t="str">
        <f>IMPRODUCT(F76,IMSUB(COMPLEX(1,0),IMDIV(IMPRODUCT(COMPLEX(Ported!C$41,0),E76),IMSUM(COMPLEX(0-(2*PI()*B76)^2*Ported!C$38,0),IMPRODUCT(C76,COMPLEX(0,0)),IMPRODUCT(COMPLEX(Ported!C$41,0),E76)))))</f>
        <v>10.2474747894995+1.787761827058i</v>
      </c>
      <c r="H76" s="32" t="str">
        <f>IMDIV(COMPLEX(Ported!C$18,0),IMPRODUCT(D76,IMSUM(COMPLEX(Ported!C$16-(2*PI()*B76)^2*Ported!C$15,0),IMPRODUCT(C76,IMSUM(COMPLEX(Ported!C$17,0),IMDIV(COMPLEX(Ported!C$18^2,0),D76))),IMPRODUCT(COMPLEX(Ported!C$14*Ported!C$41/Ported!C$24,0),G76))))</f>
        <v>0.0000297600948901205-0.000182357800237036i</v>
      </c>
      <c r="I76" s="27">
        <f t="shared" si="11"/>
        <v>-80.731256527974551</v>
      </c>
      <c r="J76" s="20" t="str">
        <f>IMPRODUCT(IMDIV(IMPRODUCT(COMPLEX(-Ported!C$41,0),F76),IMSUM(IMPRODUCT(COMPLEX(Ported!C$41,0),E76),COMPLEX(Calculations!C$3-(2*PI()*B76)^2*Ported!C$38,0),IMPRODUCT(COMPLEX(Calculations!C$4,0),C76))),H76)</f>
        <v>0.000284211583374472-0.000817757307771467i</v>
      </c>
      <c r="K76" s="27">
        <f t="shared" si="12"/>
        <v>-70.835102621735018</v>
      </c>
      <c r="L76" s="40" t="str">
        <f>IMSUM(IMPRODUCT(COMPLEX(-(Ported!C$14/Ported!C$24),0),H76),IMDIV(IMPRODUCT(COMPLEX(-Ported!C$41,0),J76),IMSUM(COMPLEX(Ported!C$41,0),IMPRODUCT(COMPLEX(Ported!C$42,0),C76))),IMDIV(IMPRODUCT(COMPLEX(Ported!C$42*Ported!C$14/Ported!C$24,0),C76,H76),IMSUM(COMPLEX(Ported!C$41,0),IMPRODUCT(COMPLEX(Ported!C$42,0),C76))))</f>
        <v>0.000174065484082785+0.0000604964656039948i</v>
      </c>
      <c r="M76" s="28">
        <f t="shared" si="13"/>
        <v>19.164897378264861</v>
      </c>
      <c r="N76" s="39" t="str">
        <f>IMPRODUCT(COMPLEX((Ported!C$10*Ported!C$14)/(2*PI()),0),C76,C76,H76)</f>
        <v>-0.0100763613057741+0.0617438583075405i</v>
      </c>
      <c r="O76" s="28">
        <f t="shared" si="14"/>
        <v>99.268743472025406</v>
      </c>
      <c r="P76" s="26" t="str">
        <f>IMPRODUCT(COMPLEX((Ported!C$10*Ported!C$24)/(2*PI()),0),C76,C76,J76)</f>
        <v>-0.0165825181129001+0.047712606245924i</v>
      </c>
      <c r="Q76" s="23">
        <f t="shared" si="15"/>
        <v>109.16489737826497</v>
      </c>
      <c r="R76" s="41" t="str">
        <f>IMPRODUCT(COMPLEX((Ported!C$10*Ported!C$24)/(2*PI()),0),C76,C76,L76)</f>
        <v>-0.0101559690437753-0.00352970742688874i</v>
      </c>
      <c r="S76" s="33">
        <f t="shared" si="16"/>
        <v>-160.8351026217351</v>
      </c>
      <c r="T76" s="38">
        <f>IMABS(IMDIV(D76,IMSUB(COMPLEX(1,0),IMPRODUCT(COMPLEX(Ported!C$18,0),IMPRODUCT(C76,H76)))))</f>
        <v>23.166436718596636</v>
      </c>
      <c r="U76" s="21">
        <f>20*LOG10(Ported!C$29*50000*IMABS(N76))</f>
        <v>99.732661415668161</v>
      </c>
      <c r="V76" s="22">
        <f>20*LOG10(Ported!C$29*50000*IMABS(P76))</f>
        <v>97.874543225084636</v>
      </c>
      <c r="W76" s="22">
        <f>20*LOG10(Ported!C$29*50000*IMABS(R76))</f>
        <v>84.436307793045003</v>
      </c>
      <c r="X76" s="28">
        <f>1000*Ported!C$29*IMABS(H76)</f>
        <v>5.7278765143383179</v>
      </c>
      <c r="Y76" s="28">
        <f>1000*Ported!C$29*IMABS(J76)</f>
        <v>26.837895078319491</v>
      </c>
      <c r="Z76" s="28">
        <f>Ported!C$29*IMABS(IMPRODUCT(C76,J76))</f>
        <v>7.5376478210181022</v>
      </c>
      <c r="AA76" s="28">
        <f>1000*Ported!C$29*IMABS(L76)</f>
        <v>5.7126376666709016</v>
      </c>
      <c r="AB76" s="41" t="str">
        <f t="shared" si="17"/>
        <v>-0.0368148484624495+0.105926757126576i</v>
      </c>
      <c r="AC76" s="28">
        <f>20*LOG10(Ported!C$29*50000*IMABS(AB76))</f>
        <v>104.8019939615756</v>
      </c>
      <c r="AD76" s="28">
        <f t="shared" si="18"/>
        <v>173819.98098537067</v>
      </c>
      <c r="AE76" s="23">
        <f t="shared" si="19"/>
        <v>109.16489737826494</v>
      </c>
      <c r="AG76" s="64"/>
    </row>
    <row r="77" spans="2:33" s="8" customFormat="1" x14ac:dyDescent="0.25">
      <c r="B77" s="24">
        <v>45.7</v>
      </c>
      <c r="C77" s="17" t="str">
        <f t="shared" si="10"/>
        <v>287.141568538107i</v>
      </c>
      <c r="D77" s="18" t="str">
        <f>COMPLEX(Ported!C$19,2*PI()*B77*Ported!C$20)</f>
        <v>6</v>
      </c>
      <c r="E77" s="19" t="str">
        <f>IMSUB(COMPLEX(1,0),IMDIV(COMPLEX(Ported!C$41,0),IMSUM(COMPLEX(Ported!C$41,0),IMPRODUCT(C77,COMPLEX(Ported!C$42,0)))))</f>
        <v>0.991282111736011+0.0929617485216643i</v>
      </c>
      <c r="F77" s="19" t="str">
        <f>IMDIV(IMPRODUCT(C77,COMPLEX((Ported!C$42*Ported!C$14/Ported!C$24),0)),IMSUM(COMPLEX(Ported!C$41,0),IMPRODUCT(C77,COMPLEX(Ported!C$42,0))))</f>
        <v>5.75251795411571+0.539467141680124i</v>
      </c>
      <c r="G77" s="30" t="str">
        <f>IMPRODUCT(F77,IMSUB(COMPLEX(1,0),IMDIV(IMPRODUCT(COMPLEX(Ported!C$41,0),E77),IMSUM(COMPLEX(0-(2*PI()*B77)^2*Ported!C$38,0),IMPRODUCT(C77,COMPLEX(0,0)),IMPRODUCT(COMPLEX(Ported!C$41,0),E77)))))</f>
        <v>9.92797314602673+1.63607977748508i</v>
      </c>
      <c r="H77" s="32" t="str">
        <f>IMDIV(COMPLEX(Ported!C$18,0),IMPRODUCT(D77,IMSUM(COMPLEX(Ported!C$16-(2*PI()*B77)^2*Ported!C$15,0),IMPRODUCT(C77,IMSUM(COMPLEX(Ported!C$17,0),IMDIV(COMPLEX(Ported!C$18^2,0),D77))),IMPRODUCT(COMPLEX(Ported!C$14*Ported!C$41/Ported!C$24,0),G77))))</f>
        <v>0.0000221894358473272-0.000181990695519024i</v>
      </c>
      <c r="I77" s="27">
        <f t="shared" si="11"/>
        <v>-83.04845444991652</v>
      </c>
      <c r="J77" s="20" t="str">
        <f>IMPRODUCT(IMDIV(IMPRODUCT(COMPLEX(-Ported!C$41,0),F77),IMSUM(IMPRODUCT(COMPLEX(Ported!C$41,0),E77),COMPLEX(Calculations!C$3-(2*PI()*B77)^2*Ported!C$38,0),IMPRODUCT(COMPLEX(Calculations!C$4,0),C77))),H77)</f>
        <v>0.000223243912042758-0.00076296537000818i</v>
      </c>
      <c r="K77" s="27">
        <f t="shared" si="12"/>
        <v>-73.690507195015201</v>
      </c>
      <c r="L77" s="40" t="str">
        <f>IMSUM(IMPRODUCT(COMPLEX(-(Ported!C$14/Ported!C$24),0),H77),IMDIV(IMPRODUCT(COMPLEX(-Ported!C$41,0),J77),IMSUM(COMPLEX(Ported!C$41,0),IMPRODUCT(COMPLEX(Ported!C$42,0),C77))),IMDIV(IMPRODUCT(COMPLEX(Ported!C$42*Ported!C$14/Ported!C$24,0),C77,H77),IMSUM(COMPLEX(Ported!C$41,0),IMPRODUCT(COMPLEX(Ported!C$42,0),C77))))</f>
        <v>0.000166035797187496+0.0000485821275254955i</v>
      </c>
      <c r="M77" s="28">
        <f t="shared" si="13"/>
        <v>16.309492804984664</v>
      </c>
      <c r="N77" s="39" t="str">
        <f>IMPRODUCT(COMPLEX((Ported!C$10*Ported!C$14)/(2*PI()),0),C77,C77,H77)</f>
        <v>-0.00785295365555435+0.0644074282684004i</v>
      </c>
      <c r="O77" s="28">
        <f t="shared" si="14"/>
        <v>96.95154555008348</v>
      </c>
      <c r="P77" s="26" t="str">
        <f>IMPRODUCT(COMPLEX((Ported!C$10*Ported!C$24)/(2*PI()),0),C77,C77,J77)</f>
        <v>-0.0136146250233189+0.0465297679268834i</v>
      </c>
      <c r="Q77" s="23">
        <f t="shared" si="15"/>
        <v>106.30949280498483</v>
      </c>
      <c r="R77" s="41" t="str">
        <f>IMPRODUCT(COMPLEX((Ported!C$10*Ported!C$24)/(2*PI()),0),C77,C77,L77)</f>
        <v>-0.0101257637821838-0.00296280173126511i</v>
      </c>
      <c r="S77" s="33">
        <f t="shared" si="16"/>
        <v>-163.69050719501536</v>
      </c>
      <c r="T77" s="38">
        <f>IMABS(IMDIV(D77,IMSUB(COMPLEX(1,0),IMPRODUCT(COMPLEX(Ported!C$18,0),IMPRODUCT(C77,H77)))))</f>
        <v>25.931835354487177</v>
      </c>
      <c r="U77" s="21">
        <f>20*LOG10(Ported!C$29*50000*IMABS(N77))</f>
        <v>100.04944016734625</v>
      </c>
      <c r="V77" s="22">
        <f>20*LOG10(Ported!C$29*50000*IMABS(P77))</f>
        <v>97.51800983679783</v>
      </c>
      <c r="W77" s="22">
        <f>20*LOG10(Ported!C$29*50000*IMABS(R77))</f>
        <v>84.271947943516523</v>
      </c>
      <c r="X77" s="28">
        <f>1000*Ported!C$29*IMABS(H77)</f>
        <v>5.6834917023156315</v>
      </c>
      <c r="Y77" s="28">
        <f>1000*Ported!C$29*IMABS(J77)</f>
        <v>24.643615686261107</v>
      </c>
      <c r="Z77" s="28">
        <f>Ported!C$29*IMABS(IMPRODUCT(C77,J77))</f>
        <v>7.076206462603313</v>
      </c>
      <c r="AA77" s="28">
        <f>1000*Ported!C$29*IMABS(L77)</f>
        <v>5.362920175534013</v>
      </c>
      <c r="AB77" s="41" t="str">
        <f t="shared" si="17"/>
        <v>-0.0315933424610571+0.107974394464019i</v>
      </c>
      <c r="AC77" s="28">
        <f>20*LOG10(Ported!C$29*50000*IMABS(AB77))</f>
        <v>104.82980765080535</v>
      </c>
      <c r="AD77" s="28">
        <f t="shared" si="18"/>
        <v>174377.47411127706</v>
      </c>
      <c r="AE77" s="23">
        <f t="shared" si="19"/>
        <v>106.30949280498483</v>
      </c>
      <c r="AG77" s="64"/>
    </row>
    <row r="78" spans="2:33" s="8" customFormat="1" x14ac:dyDescent="0.25">
      <c r="B78" s="24">
        <v>46.8</v>
      </c>
      <c r="C78" s="17" t="str">
        <f t="shared" si="10"/>
        <v>294.053072376005i</v>
      </c>
      <c r="D78" s="18" t="str">
        <f>COMPLEX(Ported!C$19,2*PI()*B78*Ported!C$20)</f>
        <v>6</v>
      </c>
      <c r="E78" s="19" t="str">
        <f>IMSUB(COMPLEX(1,0),IMDIV(COMPLEX(Ported!C$41,0),IMSUM(COMPLEX(Ported!C$41,0),IMPRODUCT(C78,COMPLEX(Ported!C$42,0)))))</f>
        <v>0.991683742714959+0.0908135295526517i</v>
      </c>
      <c r="F78" s="19" t="str">
        <f>IMDIV(IMPRODUCT(C78,COMPLEX((Ported!C$42*Ported!C$14/Ported!C$24),0)),IMSUM(COMPLEX(Ported!C$41,0),IMPRODUCT(C78,COMPLEX(Ported!C$42,0))))</f>
        <v>5.75484866238731+0.52700079325891i</v>
      </c>
      <c r="G78" s="30" t="str">
        <f>IMPRODUCT(F78,IMSUB(COMPLEX(1,0),IMDIV(IMPRODUCT(COMPLEX(Ported!C$41,0),E78),IMSUM(COMPLEX(0-(2*PI()*B78)^2*Ported!C$38,0),IMPRODUCT(C78,COMPLEX(0,0)),IMPRODUCT(COMPLEX(Ported!C$41,0),E78)))))</f>
        <v>9.61859733480148+1.4952379466568i</v>
      </c>
      <c r="H78" s="32" t="str">
        <f>IMDIV(COMPLEX(Ported!C$18,0),IMPRODUCT(D78,IMSUM(COMPLEX(Ported!C$16-(2*PI()*B78)^2*Ported!C$15,0),IMPRODUCT(C78,IMSUM(COMPLEX(Ported!C$17,0),IMDIV(COMPLEX(Ported!C$18^2,0),D78))),IMPRODUCT(COMPLEX(Ported!C$14*Ported!C$41/Ported!C$24,0),G78))))</f>
        <v>0.0000142626537686619-0.000180667628546096i</v>
      </c>
      <c r="I78" s="27">
        <f t="shared" si="11"/>
        <v>-85.486194360369112</v>
      </c>
      <c r="J78" s="20" t="str">
        <f>IMPRODUCT(IMDIV(IMPRODUCT(COMPLEX(-Ported!C$41,0),F78),IMSUM(IMPRODUCT(COMPLEX(Ported!C$41,0),E78),COMPLEX(Calculations!C$3-(2*PI()*B78)^2*Ported!C$38,0),IMPRODUCT(COMPLEX(Calculations!C$4,0),C78))),H78)</f>
        <v>0.000167376650830485-0.000705310284879792i</v>
      </c>
      <c r="K78" s="27">
        <f t="shared" si="12"/>
        <v>-76.650127910811037</v>
      </c>
      <c r="L78" s="40" t="str">
        <f>IMSUM(IMPRODUCT(COMPLEX(-(Ported!C$14/Ported!C$24),0),H78),IMDIV(IMPRODUCT(COMPLEX(-Ported!C$41,0),J78),IMSUM(COMPLEX(Ported!C$41,0),IMPRODUCT(COMPLEX(Ported!C$42,0),C78))),IMDIV(IMPRODUCT(COMPLEX(Ported!C$42*Ported!C$14/Ported!C$24,0),C78,H78),IMSUM(COMPLEX(Ported!C$41,0),IMPRODUCT(COMPLEX(Ported!C$42,0),C78))))</f>
        <v>0.000157183434916067+0.000037301082185084i</v>
      </c>
      <c r="M78" s="28">
        <f t="shared" si="13"/>
        <v>13.349872089190589</v>
      </c>
      <c r="N78" s="39" t="str">
        <f>IMPRODUCT(COMPLEX((Ported!C$10*Ported!C$14)/(2*PI()),0),C78,C78,H78)</f>
        <v>-0.00529354268533981+0.0670542676755731i</v>
      </c>
      <c r="O78" s="28">
        <f t="shared" si="14"/>
        <v>94.513805639630888</v>
      </c>
      <c r="P78" s="26" t="str">
        <f>IMPRODUCT(COMPLEX((Ported!C$10*Ported!C$24)/(2*PI()),0),C78,C78,J78)</f>
        <v>-0.0107048414562872+0.0451092475543294i</v>
      </c>
      <c r="Q78" s="23">
        <f t="shared" si="15"/>
        <v>103.34987208918901</v>
      </c>
      <c r="R78" s="41" t="str">
        <f>IMPRODUCT(COMPLEX((Ported!C$10*Ported!C$24)/(2*PI()),0),C78,C78,L78)</f>
        <v>-0.0100529180263934-0.00238565038168714i</v>
      </c>
      <c r="S78" s="33">
        <f t="shared" si="16"/>
        <v>-166.65012791080946</v>
      </c>
      <c r="T78" s="38">
        <f>IMABS(IMDIV(D78,IMSUB(COMPLEX(1,0),IMPRODUCT(COMPLEX(Ported!C$18,0),IMPRODUCT(C78,H78)))))</f>
        <v>28.957953733288125</v>
      </c>
      <c r="U78" s="21">
        <f>20*LOG10(Ported!C$29*50000*IMABS(N78))</f>
        <v>100.36214446174486</v>
      </c>
      <c r="V78" s="22">
        <f>20*LOG10(Ported!C$29*50000*IMABS(P78))</f>
        <v>97.129882876465558</v>
      </c>
      <c r="W78" s="22">
        <f>20*LOG10(Ported!C$29*50000*IMABS(R78))</f>
        <v>84.090414043269718</v>
      </c>
      <c r="X78" s="28">
        <f>1000*Ported!C$29*IMABS(H78)</f>
        <v>5.6181216523329258</v>
      </c>
      <c r="Y78" s="28">
        <f>1000*Ported!C$29*IMABS(J78)</f>
        <v>22.471847211424926</v>
      </c>
      <c r="Z78" s="28">
        <f>Ported!C$29*IMABS(IMPRODUCT(C78,J78))</f>
        <v>6.6079157144836547</v>
      </c>
      <c r="AA78" s="28">
        <f>1000*Ported!C$29*IMABS(L78)</f>
        <v>5.0080116642604162</v>
      </c>
      <c r="AB78" s="41" t="str">
        <f t="shared" si="17"/>
        <v>-0.0260513021680204+0.109777864848215i</v>
      </c>
      <c r="AC78" s="28">
        <f>20*LOG10(Ported!C$29*50000*IMABS(AB78))</f>
        <v>104.85486681064395</v>
      </c>
      <c r="AD78" s="28">
        <f t="shared" si="18"/>
        <v>174881.28692792219</v>
      </c>
      <c r="AE78" s="23">
        <f t="shared" si="19"/>
        <v>103.34987208918908</v>
      </c>
      <c r="AG78" s="64"/>
    </row>
    <row r="79" spans="2:33" s="8" customFormat="1" x14ac:dyDescent="0.25">
      <c r="B79" s="24">
        <v>47.9</v>
      </c>
      <c r="C79" s="17" t="str">
        <f t="shared" si="10"/>
        <v>300.964576213902i</v>
      </c>
      <c r="D79" s="18" t="str">
        <f>COMPLEX(Ported!C$19,2*PI()*B79*Ported!C$20)</f>
        <v>6</v>
      </c>
      <c r="E79" s="19" t="str">
        <f>IMSUB(COMPLEX(1,0),IMDIV(COMPLEX(Ported!C$41,0),IMSUM(COMPLEX(Ported!C$41,0),IMPRODUCT(C79,COMPLEX(Ported!C$42,0)))))</f>
        <v>0.99205831596237+0.0887615552605761i</v>
      </c>
      <c r="F79" s="19" t="str">
        <f>IMDIV(IMPRODUCT(C79,COMPLEX((Ported!C$42*Ported!C$14/Ported!C$24),0)),IMSUM(COMPLEX(Ported!C$41,0),IMPRODUCT(C79,COMPLEX(Ported!C$42,0))))</f>
        <v>5.75702235169873+0.515092963170183i</v>
      </c>
      <c r="G79" s="30" t="str">
        <f>IMPRODUCT(F79,IMSUB(COMPLEX(1,0),IMDIV(IMPRODUCT(COMPLEX(Ported!C$41,0),E79),IMSUM(COMPLEX(0-(2*PI()*B79)^2*Ported!C$38,0),IMPRODUCT(C79,COMPLEX(0,0)),IMPRODUCT(COMPLEX(Ported!C$41,0),E79)))))</f>
        <v>9.34606862070937+1.37593274041754i</v>
      </c>
      <c r="H79" s="32" t="str">
        <f>IMDIV(COMPLEX(Ported!C$18,0),IMPRODUCT(D79,IMSUM(COMPLEX(Ported!C$16-(2*PI()*B79)^2*Ported!C$15,0),IMPRODUCT(C79,IMSUM(COMPLEX(Ported!C$17,0),IMDIV(COMPLEX(Ported!C$18^2,0),D79))),IMPRODUCT(COMPLEX(Ported!C$14*Ported!C$41/Ported!C$24,0),G79))))</f>
        <v>6.82442032321817E-06-0.000178552176615886i</v>
      </c>
      <c r="I79" s="27">
        <f t="shared" si="11"/>
        <v>-87.81117063016255</v>
      </c>
      <c r="J79" s="20" t="str">
        <f>IMPRODUCT(IMDIV(IMPRODUCT(COMPLEX(-Ported!C$41,0),F79),IMSUM(IMPRODUCT(COMPLEX(Ported!C$41,0),E79),COMPLEX(Calculations!C$3-(2*PI()*B79)^2*Ported!C$38,0),IMPRODUCT(COMPLEX(Calculations!C$4,0),C79))),H79)</f>
        <v>0.000121387004800527-0.000650901040574614i</v>
      </c>
      <c r="K79" s="27">
        <f t="shared" si="12"/>
        <v>-79.436218359478175</v>
      </c>
      <c r="L79" s="40" t="str">
        <f>IMSUM(IMPRODUCT(COMPLEX(-(Ported!C$14/Ported!C$24),0),H79),IMDIV(IMPRODUCT(COMPLEX(-Ported!C$41,0),J79),IMSUM(COMPLEX(Ported!C$41,0),IMPRODUCT(COMPLEX(Ported!C$42,0),C79))),IMDIV(IMPRODUCT(COMPLEX(Ported!C$42*Ported!C$14/Ported!C$24,0),C79,H79),IMSUM(COMPLEX(Ported!C$41,0),IMPRODUCT(COMPLEX(Ported!C$42,0),C79))))</f>
        <v>0.000148467427826305+0.000027687797761646i</v>
      </c>
      <c r="M79" s="28">
        <f t="shared" si="13"/>
        <v>10.563781640522551</v>
      </c>
      <c r="N79" s="39" t="str">
        <f>IMPRODUCT(COMPLEX((Ported!C$10*Ported!C$14)/(2*PI()),0),C79,C79,H79)</f>
        <v>-0.0026533293930703+0.0694209494687457i</v>
      </c>
      <c r="O79" s="28">
        <f t="shared" si="14"/>
        <v>92.18882936983745</v>
      </c>
      <c r="P79" s="26" t="str">
        <f>IMPRODUCT(COMPLEX((Ported!C$10*Ported!C$24)/(2*PI()),0),C79,C79,J79)</f>
        <v>-0.00813273988541668+0.0436093539241641i</v>
      </c>
      <c r="Q79" s="23">
        <f t="shared" si="15"/>
        <v>100.56378164052181</v>
      </c>
      <c r="R79" s="41" t="str">
        <f>IMPRODUCT(COMPLEX((Ported!C$10*Ported!C$24)/(2*PI()),0),C79,C79,L79)</f>
        <v>-0.00994708596651173-0.00185503924053089i</v>
      </c>
      <c r="S79" s="33">
        <f t="shared" si="16"/>
        <v>-169.43621835947746</v>
      </c>
      <c r="T79" s="38">
        <f>IMABS(IMDIV(D79,IMSUB(COMPLEX(1,0),IMPRODUCT(COMPLEX(Ported!C$18,0),IMPRODUCT(C79,H79)))))</f>
        <v>31.485370974593319</v>
      </c>
      <c r="U79" s="21">
        <f>20*LOG10(Ported!C$29*50000*IMABS(N79))</f>
        <v>100.6427846449904</v>
      </c>
      <c r="V79" s="22">
        <f>20*LOG10(Ported!C$29*50000*IMABS(P79))</f>
        <v>96.746702196108458</v>
      </c>
      <c r="W79" s="22">
        <f>20*LOG10(Ported!C$29*50000*IMABS(R79))</f>
        <v>83.909026569721377</v>
      </c>
      <c r="X79" s="28">
        <f>1000*Ported!C$29*IMABS(H79)</f>
        <v>5.5391589469904892</v>
      </c>
      <c r="Y79" s="28">
        <f>1000*Ported!C$29*IMABS(J79)</f>
        <v>20.525815397759278</v>
      </c>
      <c r="Z79" s="28">
        <f>Ported!C$29*IMABS(IMPRODUCT(C79,J79))</f>
        <v>6.1775433326314193</v>
      </c>
      <c r="AA79" s="28">
        <f>1000*Ported!C$29*IMABS(L79)</f>
        <v>4.6818407502508235</v>
      </c>
      <c r="AB79" s="41" t="str">
        <f t="shared" si="17"/>
        <v>-0.0207331552449987+0.111175264152379i</v>
      </c>
      <c r="AC79" s="28">
        <f>20*LOG10(Ported!C$29*50000*IMABS(AB79))</f>
        <v>104.87527254390446</v>
      </c>
      <c r="AD79" s="28">
        <f t="shared" si="18"/>
        <v>175292.61796649959</v>
      </c>
      <c r="AE79" s="23">
        <f t="shared" si="19"/>
        <v>100.56378164052181</v>
      </c>
      <c r="AG79" s="64"/>
    </row>
    <row r="80" spans="2:33" s="8" customFormat="1" x14ac:dyDescent="0.25">
      <c r="B80" s="24">
        <v>49</v>
      </c>
      <c r="C80" s="17" t="str">
        <f t="shared" si="10"/>
        <v>307.8760800518i</v>
      </c>
      <c r="D80" s="18" t="str">
        <f>COMPLEX(Ported!C$19,2*PI()*B80*Ported!C$20)</f>
        <v>6</v>
      </c>
      <c r="E80" s="19" t="str">
        <f>IMSUB(COMPLEX(1,0),IMDIV(COMPLEX(Ported!C$41,0),IMSUM(COMPLEX(Ported!C$41,0),IMPRODUCT(C80,COMPLEX(Ported!C$42,0)))))</f>
        <v>0.992408202515416+0.0867995512404153i</v>
      </c>
      <c r="F80" s="19" t="str">
        <f>IMDIV(IMPRODUCT(C80,COMPLEX((Ported!C$42*Ported!C$14/Ported!C$24),0)),IMSUM(COMPLEX(Ported!C$41,0),IMPRODUCT(C80,COMPLEX(Ported!C$42,0))))</f>
        <v>5.7590527814366+0.503707240358885i</v>
      </c>
      <c r="G80" s="30" t="str">
        <f>IMPRODUCT(F80,IMSUB(COMPLEX(1,0),IMDIV(IMPRODUCT(COMPLEX(Ported!C$41,0),E80),IMSUM(COMPLEX(0-(2*PI()*B80)^2*Ported!C$38,0),IMPRODUCT(C80,COMPLEX(0,0)),IMPRODUCT(COMPLEX(Ported!C$41,0),E80)))))</f>
        <v>9.10444496663649+1.2737731132536i</v>
      </c>
      <c r="H80" s="32" t="str">
        <f>IMDIV(COMPLEX(Ported!C$18,0),IMPRODUCT(D80,IMSUM(COMPLEX(Ported!C$16-(2*PI()*B80)^2*Ported!C$15,0),IMPRODUCT(C80,IMSUM(COMPLEX(Ported!C$17,0),IMDIV(COMPLEX(Ported!C$18^2,0),D80))),IMPRODUCT(COMPLEX(Ported!C$14*Ported!C$41/Ported!C$24,0),G80))))</f>
        <v>-8.69531573502297E-08-0.000175799459577221i</v>
      </c>
      <c r="I80" s="27">
        <f t="shared" si="11"/>
        <v>-90.028339384758112</v>
      </c>
      <c r="J80" s="20" t="str">
        <f>IMPRODUCT(IMDIV(IMPRODUCT(COMPLEX(-Ported!C$41,0),F80),IMSUM(IMPRODUCT(COMPLEX(Ported!C$41,0),E80),COMPLEX(Calculations!C$3-(2*PI()*B80)^2*Ported!C$38,0),IMPRODUCT(COMPLEX(Calculations!C$4,0),C80))),H80)</f>
        <v>0.0000836415111321894-0.000600000223711484i</v>
      </c>
      <c r="K80" s="27">
        <f t="shared" si="12"/>
        <v>-82.063970371193093</v>
      </c>
      <c r="L80" s="40" t="str">
        <f>IMSUM(IMPRODUCT(COMPLEX(-(Ported!C$14/Ported!C$24),0),H80),IMDIV(IMPRODUCT(COMPLEX(-Ported!C$41,0),J80),IMSUM(COMPLEX(Ported!C$41,0),IMPRODUCT(COMPLEX(Ported!C$42,0),C80))),IMDIV(IMPRODUCT(COMPLEX(Ported!C$42*Ported!C$14/Ported!C$24,0),C80,H80),IMSUM(COMPLEX(Ported!C$41,0),IMPRODUCT(COMPLEX(Ported!C$42,0),C80))))</f>
        <v>0.000140000052199346+0.0000195163525975172i</v>
      </c>
      <c r="M80" s="28">
        <f t="shared" si="13"/>
        <v>7.9360296288094707</v>
      </c>
      <c r="N80" s="39" t="str">
        <f>IMPRODUCT(COMPLEX((Ported!C$10*Ported!C$14)/(2*PI()),0),C80,C80,H80)</f>
        <v>0.0000353778869598542+0.0715260215736139i</v>
      </c>
      <c r="O80" s="28">
        <f t="shared" si="14"/>
        <v>89.971660615241873</v>
      </c>
      <c r="P80" s="26" t="str">
        <f>IMPRODUCT(COMPLEX((Ported!C$10*Ported!C$24)/(2*PI()),0),C80,C80,J80)</f>
        <v>-0.00586418537535742+0.0420665826032161i</v>
      </c>
      <c r="Q80" s="23">
        <f t="shared" si="15"/>
        <v>97.936029628806907</v>
      </c>
      <c r="R80" s="41" t="str">
        <f>IMPRODUCT(COMPLEX((Ported!C$10*Ported!C$24)/(2*PI()),0),C80,C80,L80)</f>
        <v>-0.00981553594075041-0.00136830992091718i</v>
      </c>
      <c r="S80" s="33">
        <f t="shared" si="16"/>
        <v>-172.06397037119052</v>
      </c>
      <c r="T80" s="38">
        <f>IMABS(IMDIV(D80,IMSUB(COMPLEX(1,0),IMPRODUCT(COMPLEX(Ported!C$18,0),IMPRODUCT(C80,H80)))))</f>
        <v>32.934454567265419</v>
      </c>
      <c r="U80" s="21">
        <f>20*LOG10(Ported!C$29*50000*IMABS(N80))</f>
        <v>100.89591641292431</v>
      </c>
      <c r="V80" s="22">
        <f>20*LOG10(Ported!C$29*50000*IMABS(P80))</f>
        <v>96.368965692954504</v>
      </c>
      <c r="W80" s="22">
        <f>20*LOG10(Ported!C$29*50000*IMABS(R80))</f>
        <v>83.728501398846419</v>
      </c>
      <c r="X80" s="28">
        <f>1000*Ported!C$29*IMABS(H80)</f>
        <v>5.4497839135238433</v>
      </c>
      <c r="Y80" s="28">
        <f>1000*Ported!C$29*IMABS(J80)</f>
        <v>18.779864753922293</v>
      </c>
      <c r="Z80" s="28">
        <f>Ported!C$29*IMABS(IMPRODUCT(C80,J80))</f>
        <v>5.7818711443405668</v>
      </c>
      <c r="AA80" s="28">
        <f>1000*Ported!C$29*IMABS(L80)</f>
        <v>4.381968442581889</v>
      </c>
      <c r="AB80" s="41" t="str">
        <f t="shared" si="17"/>
        <v>-0.015644343429148+0.112224294255913i</v>
      </c>
      <c r="AC80" s="28">
        <f>20*LOG10(Ported!C$29*50000*IMABS(AB80))</f>
        <v>104.89195870530853</v>
      </c>
      <c r="AD80" s="28">
        <f t="shared" si="18"/>
        <v>175629.69020190462</v>
      </c>
      <c r="AE80" s="23">
        <f t="shared" si="19"/>
        <v>97.936029628806935</v>
      </c>
      <c r="AG80" s="64"/>
    </row>
    <row r="81" spans="2:33" s="8" customFormat="1" x14ac:dyDescent="0.25">
      <c r="B81" s="24">
        <v>50.1</v>
      </c>
      <c r="C81" s="17" t="str">
        <f t="shared" si="10"/>
        <v>314.787583889697i</v>
      </c>
      <c r="D81" s="18" t="str">
        <f>COMPLEX(Ported!C$19,2*PI()*B81*Ported!C$20)</f>
        <v>6</v>
      </c>
      <c r="E81" s="19" t="str">
        <f>IMSUB(COMPLEX(1,0),IMDIV(COMPLEX(Ported!C$41,0),IMSUM(COMPLEX(Ported!C$41,0),IMPRODUCT(C81,COMPLEX(Ported!C$42,0)))))</f>
        <v>0.992735519893415+0.0849217724459725i</v>
      </c>
      <c r="F81" s="19" t="str">
        <f>IMDIV(IMPRODUCT(C81,COMPLEX((Ported!C$42*Ported!C$14/Ported!C$24),0)),IMSUM(COMPLEX(Ported!C$41,0),IMPRODUCT(C81,COMPLEX(Ported!C$42,0))))</f>
        <v>5.76095223979599+0.492810285696836i</v>
      </c>
      <c r="G81" s="30" t="str">
        <f>IMPRODUCT(F81,IMSUB(COMPLEX(1,0),IMDIV(IMPRODUCT(COMPLEX(Ported!C$41,0),E81),IMSUM(COMPLEX(0-(2*PI()*B81)^2*Ported!C$38,0),IMPRODUCT(C81,COMPLEX(0,0)),IMPRODUCT(COMPLEX(Ported!C$41,0),E81)))))</f>
        <v>8.88896827183614+1.18545131596963i</v>
      </c>
      <c r="H81" s="32" t="str">
        <f>IMDIV(COMPLEX(Ported!C$18,0),IMPRODUCT(D81,IMSUM(COMPLEX(Ported!C$16-(2*PI()*B81)^2*Ported!C$15,0),IMPRODUCT(C81,IMSUM(COMPLEX(Ported!C$17,0),IMDIV(COMPLEX(Ported!C$18^2,0),D81))),IMPRODUCT(COMPLEX(Ported!C$14*Ported!C$41/Ported!C$24,0),G81))))</f>
        <v>-6.45720946790102E-06-0.000172543595397753i</v>
      </c>
      <c r="I81" s="27">
        <f t="shared" si="11"/>
        <v>-92.143216476966003</v>
      </c>
      <c r="J81" s="20" t="str">
        <f>IMPRODUCT(IMDIV(IMPRODUCT(COMPLEX(-Ported!C$41,0),F81),IMSUM(IMPRODUCT(COMPLEX(Ported!C$41,0),E81),COMPLEX(Calculations!C$3-(2*PI()*B81)^2*Ported!C$38,0),IMPRODUCT(COMPLEX(Calculations!C$4,0),C81))),H81)</f>
        <v>0.0000527606232355499-0.000552687171451244i</v>
      </c>
      <c r="K81" s="27">
        <f t="shared" si="12"/>
        <v>-84.546954706290094</v>
      </c>
      <c r="L81" s="40" t="str">
        <f>IMSUM(IMPRODUCT(COMPLEX(-(Ported!C$14/Ported!C$24),0),H81),IMDIV(IMPRODUCT(COMPLEX(-Ported!C$41,0),J81),IMSUM(COMPLEX(Ported!C$41,0),IMPRODUCT(COMPLEX(Ported!C$42,0),C81))),IMDIV(IMPRODUCT(COMPLEX(Ported!C$42*Ported!C$14/Ported!C$24,0),C81,H81),IMSUM(COMPLEX(Ported!C$41,0),IMPRODUCT(COMPLEX(Ported!C$42,0),C81))))</f>
        <v>0.000131855368046226+0.0000125871772576182i</v>
      </c>
      <c r="M81" s="28">
        <f t="shared" si="13"/>
        <v>5.4530452937073655</v>
      </c>
      <c r="N81" s="39" t="str">
        <f>IMPRODUCT(COMPLEX((Ported!C$10*Ported!C$14)/(2*PI()),0),C81,C81,H81)</f>
        <v>0.00274646899254388+0.0733886111295701i</v>
      </c>
      <c r="O81" s="28">
        <f t="shared" si="14"/>
        <v>87.856783523033997</v>
      </c>
      <c r="P81" s="26" t="str">
        <f>IMPRODUCT(COMPLEX((Ported!C$10*Ported!C$24)/(2*PI()),0),C81,C81,J81)</f>
        <v>-0.00386704324411716+0.0405087177027635i</v>
      </c>
      <c r="Q81" s="23">
        <f t="shared" si="15"/>
        <v>95.453045293709906</v>
      </c>
      <c r="R81" s="41" t="str">
        <f>IMPRODUCT(COMPLEX((Ported!C$10*Ported!C$24)/(2*PI()),0),C81,C81,L81)</f>
        <v>-0.00966422265194506-0.000922566031096095i</v>
      </c>
      <c r="S81" s="33">
        <f t="shared" si="16"/>
        <v>-174.54695470629261</v>
      </c>
      <c r="T81" s="38">
        <f>IMABS(IMDIV(D81,IMSUB(COMPLEX(1,0),IMPRODUCT(COMPLEX(Ported!C$18,0),IMPRODUCT(C81,H81)))))</f>
        <v>32.981876422134839</v>
      </c>
      <c r="U81" s="21">
        <f>20*LOG10(Ported!C$29*50000*IMABS(N81))</f>
        <v>101.12528550379308</v>
      </c>
      <c r="V81" s="22">
        <f>20*LOG10(Ported!C$29*50000*IMABS(P81))</f>
        <v>95.997001863939261</v>
      </c>
      <c r="W81" s="22">
        <f>20*LOG10(Ported!C$29*50000*IMABS(R81))</f>
        <v>83.54937048660581</v>
      </c>
      <c r="X81" s="28">
        <f>1000*Ported!C$29*IMABS(H81)</f>
        <v>5.352595757208543</v>
      </c>
      <c r="Y81" s="28">
        <f>1000*Ported!C$29*IMABS(J81)</f>
        <v>17.211193100125051</v>
      </c>
      <c r="Z81" s="28">
        <f>Ported!C$29*IMABS(IMPRODUCT(C81,J81))</f>
        <v>5.4178698918473946</v>
      </c>
      <c r="AA81" s="28">
        <f>1000*Ported!C$29*IMABS(L81)</f>
        <v>4.1060989253155498</v>
      </c>
      <c r="AB81" s="41" t="str">
        <f t="shared" si="17"/>
        <v>-0.0107847969035183+0.112974762801237i</v>
      </c>
      <c r="AC81" s="28">
        <f>20*LOG10(Ported!C$29*50000*IMABS(AB81))</f>
        <v>104.90566070984259</v>
      </c>
      <c r="AD81" s="28">
        <f t="shared" si="18"/>
        <v>175906.96495697918</v>
      </c>
      <c r="AE81" s="23">
        <f t="shared" si="19"/>
        <v>95.453045293709877</v>
      </c>
      <c r="AG81" s="64"/>
    </row>
    <row r="82" spans="2:33" s="8" customFormat="1" x14ac:dyDescent="0.25">
      <c r="B82" s="24">
        <v>51.3</v>
      </c>
      <c r="C82" s="17" t="str">
        <f t="shared" si="10"/>
        <v>322.327406258313i</v>
      </c>
      <c r="D82" s="18" t="str">
        <f>COMPLEX(Ported!C$19,2*PI()*B82*Ported!C$20)</f>
        <v>6</v>
      </c>
      <c r="E82" s="19" t="str">
        <f>IMSUB(COMPLEX(1,0),IMDIV(COMPLEX(Ported!C$41,0),IMSUM(COMPLEX(Ported!C$41,0),IMPRODUCT(C82,COMPLEX(Ported!C$42,0)))))</f>
        <v>0.993069075671139+0.0829631642164698i</v>
      </c>
      <c r="F82" s="19" t="str">
        <f>IMDIV(IMPRODUCT(C82,COMPLEX((Ported!C$42*Ported!C$14/Ported!C$24),0)),IMSUM(COMPLEX(Ported!C$41,0),IMPRODUCT(C82,COMPLEX(Ported!C$42,0))))</f>
        <v>5.76288790026777+0.48144426902822i</v>
      </c>
      <c r="G82" s="30" t="str">
        <f>IMPRODUCT(F82,IMSUB(COMPLEX(1,0),IMDIV(IMPRODUCT(COMPLEX(Ported!C$41,0),E82),IMSUM(COMPLEX(0-(2*PI()*B82)^2*Ported!C$38,0),IMPRODUCT(C82,COMPLEX(0,0)),IMPRODUCT(COMPLEX(Ported!C$41,0),E82)))))</f>
        <v>8.67921963773202+1.10192264884672i</v>
      </c>
      <c r="H82" s="32" t="str">
        <f>IMDIV(COMPLEX(Ported!C$18,0),IMPRODUCT(D82,IMSUM(COMPLEX(Ported!C$16-(2*PI()*B82)^2*Ported!C$15,0),IMPRODUCT(C82,IMSUM(COMPLEX(Ported!C$17,0),IMDIV(COMPLEX(Ported!C$18^2,0),D82))),IMPRODUCT(COMPLEX(Ported!C$14*Ported!C$41/Ported!C$24,0),G82))))</f>
        <v>-0.0000127929691949001-0.000168551958072898i</v>
      </c>
      <c r="I82" s="27">
        <f t="shared" si="11"/>
        <v>-94.340385584878817</v>
      </c>
      <c r="J82" s="20" t="str">
        <f>IMPRODUCT(IMDIV(IMPRODUCT(COMPLEX(-Ported!C$41,0),F82),IMSUM(IMPRODUCT(COMPLEX(Ported!C$41,0),E82),COMPLEX(Calculations!C$3-(2*PI()*B82)^2*Ported!C$38,0),IMPRODUCT(COMPLEX(Calculations!C$4,0),C82))),H82)</f>
        <v>0.000025545716851924-0.000505111428127061i</v>
      </c>
      <c r="K82" s="27">
        <f t="shared" si="12"/>
        <v>-87.104766025540684</v>
      </c>
      <c r="L82" s="40" t="str">
        <f>IMSUM(IMPRODUCT(COMPLEX(-(Ported!C$14/Ported!C$24),0),H82),IMDIV(IMPRODUCT(COMPLEX(-Ported!C$41,0),J82),IMSUM(COMPLEX(Ported!C$41,0),IMPRODUCT(COMPLEX(Ported!C$42,0),C82))),IMDIV(IMPRODUCT(COMPLEX(Ported!C$42*Ported!C$14/Ported!C$24,0),C82,H82),IMSUM(COMPLEX(Ported!C$41,0),IMPRODUCT(COMPLEX(Ported!C$42,0),C82))))</f>
        <v>0.000123391506013896+6.24045368810924E-06i</v>
      </c>
      <c r="M82" s="28">
        <f t="shared" si="13"/>
        <v>2.8952339744576436</v>
      </c>
      <c r="N82" s="39" t="str">
        <f>IMPRODUCT(COMPLEX((Ported!C$10*Ported!C$14)/(2*PI()),0),C82,C82,H82)</f>
        <v>0.00570506317523104+0.075166253780875i</v>
      </c>
      <c r="O82" s="28">
        <f t="shared" si="14"/>
        <v>85.659614415121183</v>
      </c>
      <c r="P82" s="26" t="str">
        <f>IMPRODUCT(COMPLEX((Ported!C$10*Ported!C$24)/(2*PI()),0),C82,C82,J82)</f>
        <v>-0.00196311835789275+0.0388164295050102i</v>
      </c>
      <c r="Q82" s="23">
        <f t="shared" si="15"/>
        <v>92.895233974459316</v>
      </c>
      <c r="R82" s="41" t="str">
        <f>IMPRODUCT(COMPLEX((Ported!C$10*Ported!C$24)/(2*PI()),0),C82,C82,L82)</f>
        <v>-0.00948229920765246-0.000479561770284951i</v>
      </c>
      <c r="S82" s="33">
        <f t="shared" si="16"/>
        <v>-177.10476602554238</v>
      </c>
      <c r="T82" s="38">
        <f>IMABS(IMDIV(D82,IMSUB(COMPLEX(1,0),IMPRODUCT(COMPLEX(Ported!C$18,0),IMPRODUCT(C82,H82)))))</f>
        <v>31.642403667307907</v>
      </c>
      <c r="U82" s="21">
        <f>20*LOG10(Ported!C$29*50000*IMABS(N82))</f>
        <v>101.35203868925926</v>
      </c>
      <c r="V82" s="22">
        <f>20*LOG10(Ported!C$29*50000*IMABS(P82))</f>
        <v>95.598039737186468</v>
      </c>
      <c r="W82" s="22">
        <f>20*LOG10(Ported!C$29*50000*IMABS(R82))</f>
        <v>83.356001144744369</v>
      </c>
      <c r="X82" s="28">
        <f>1000*Ported!C$29*IMABS(H82)</f>
        <v>5.2401392298697047</v>
      </c>
      <c r="Y82" s="28">
        <f>1000*Ported!C$29*IMABS(J82)</f>
        <v>15.678466859790539</v>
      </c>
      <c r="Z82" s="28">
        <f>Ported!C$29*IMABS(IMPRODUCT(C82,J82))</f>
        <v>5.0535995570232064</v>
      </c>
      <c r="AA82" s="28">
        <f>1000*Ported!C$29*IMABS(L82)</f>
        <v>3.8300254757488168</v>
      </c>
      <c r="AB82" s="41" t="str">
        <f t="shared" si="17"/>
        <v>-0.00574035439031417+0.1135031215156i</v>
      </c>
      <c r="AC82" s="28">
        <f>20*LOG10(Ported!C$29*50000*IMABS(AB82))</f>
        <v>104.9178841528726</v>
      </c>
      <c r="AD82" s="28">
        <f t="shared" si="18"/>
        <v>176154.68885386889</v>
      </c>
      <c r="AE82" s="23">
        <f t="shared" si="19"/>
        <v>92.895233974459302</v>
      </c>
      <c r="AG82" s="64"/>
    </row>
    <row r="83" spans="2:33" s="8" customFormat="1" x14ac:dyDescent="0.25">
      <c r="B83" s="24">
        <v>52.5</v>
      </c>
      <c r="C83" s="17" t="str">
        <f t="shared" si="10"/>
        <v>329.867228626928i</v>
      </c>
      <c r="D83" s="18" t="str">
        <f>COMPLEX(Ported!C$19,2*PI()*B83*Ported!C$20)</f>
        <v>6</v>
      </c>
      <c r="E83" s="19" t="str">
        <f>IMSUB(COMPLEX(1,0),IMDIV(COMPLEX(Ported!C$41,0),IMSUM(COMPLEX(Ported!C$41,0),IMPRODUCT(C83,COMPLEX(Ported!C$42,0)))))</f>
        <v>0.99338022341746+0.0810922631361196i</v>
      </c>
      <c r="F83" s="19" t="str">
        <f>IMDIV(IMPRODUCT(C83,COMPLEX((Ported!C$42*Ported!C$14/Ported!C$24),0)),IMSUM(COMPLEX(Ported!C$41,0),IMPRODUCT(C83,COMPLEX(Ported!C$42,0))))</f>
        <v>5.76469352449512+0.4705872264894i</v>
      </c>
      <c r="G83" s="30" t="str">
        <f>IMPRODUCT(F83,IMSUB(COMPLEX(1,0),IMDIV(IMPRODUCT(COMPLEX(Ported!C$41,0),E83),IMSUM(COMPLEX(0-(2*PI()*B83)^2*Ported!C$38,0),IMPRODUCT(C83,COMPLEX(0,0)),IMPRODUCT(COMPLEX(Ported!C$41,0),E83)))))</f>
        <v>8.49197008416765+1.02932970717184i</v>
      </c>
      <c r="H83" s="32" t="str">
        <f>IMDIV(COMPLEX(Ported!C$18,0),IMPRODUCT(D83,IMSUM(COMPLEX(Ported!C$16-(2*PI()*B83)^2*Ported!C$15,0),IMPRODUCT(C83,IMSUM(COMPLEX(Ported!C$17,0),IMDIV(COMPLEX(Ported!C$18^2,0),D83))),IMPRODUCT(COMPLEX(Ported!C$14*Ported!C$41/Ported!C$24,0),G83))))</f>
        <v>-0.0000185073038185195-0.000164222148103398i</v>
      </c>
      <c r="I83" s="27">
        <f t="shared" si="11"/>
        <v>-96.429919040625862</v>
      </c>
      <c r="J83" s="20" t="str">
        <f>IMPRODUCT(IMDIV(IMPRODUCT(COMPLEX(-Ported!C$41,0),F83),IMSUM(IMPRODUCT(COMPLEX(Ported!C$41,0),E83),COMPLEX(Calculations!C$3-(2*PI()*B83)^2*Ported!C$38,0),IMPRODUCT(COMPLEX(Calculations!C$4,0),C83))),H83)</f>
        <v>3.87763763361068E-06-0.000461590101705098i</v>
      </c>
      <c r="K83" s="27">
        <f t="shared" si="12"/>
        <v>-89.518691921601132</v>
      </c>
      <c r="L83" s="40" t="str">
        <f>IMSUM(IMPRODUCT(COMPLEX(-(Ported!C$14/Ported!C$24),0),H83),IMDIV(IMPRODUCT(COMPLEX(-Ported!C$41,0),J83),IMSUM(COMPLEX(Ported!C$41,0),IMPRODUCT(COMPLEX(Ported!C$42,0),C83))),IMDIV(IMPRODUCT(COMPLEX(Ported!C$42*Ported!C$14/Ported!C$24,0),C83,H83),IMSUM(COMPLEX(Ported!C$41,0),IMPRODUCT(COMPLEX(Ported!C$42,0),C83))))</f>
        <v>0.000115397525426274+9.69409408401139E-07i</v>
      </c>
      <c r="M83" s="28">
        <f t="shared" si="13"/>
        <v>0.48130807839811096</v>
      </c>
      <c r="N83" s="39" t="str">
        <f>IMPRODUCT(COMPLEX((Ported!C$10*Ported!C$14)/(2*PI()),0),C83,C83,H83)</f>
        <v>0.00864402740078985+0.0767016504371568i</v>
      </c>
      <c r="O83" s="28">
        <f t="shared" si="14"/>
        <v>83.570080959374138</v>
      </c>
      <c r="P83" s="26" t="str">
        <f>IMPRODUCT(COMPLEX((Ported!C$10*Ported!C$24)/(2*PI()),0),C83,C83,J83)</f>
        <v>-0.000312089737883296+0.0371508499406965i</v>
      </c>
      <c r="Q83" s="23">
        <f t="shared" si="15"/>
        <v>90.481308078398868</v>
      </c>
      <c r="R83" s="41" t="str">
        <f>IMPRODUCT(COMPLEX((Ported!C$10*Ported!C$24)/(2*PI()),0),C83,C83,L83)</f>
        <v>-0.0092877124851741-0.0000780224344707008i</v>
      </c>
      <c r="S83" s="33">
        <f t="shared" si="16"/>
        <v>-179.51869192160189</v>
      </c>
      <c r="T83" s="38">
        <f>IMABS(IMDIV(D83,IMSUB(COMPLEX(1,0),IMPRODUCT(COMPLEX(Ported!C$18,0),IMPRODUCT(C83,H83)))))</f>
        <v>29.474108370156948</v>
      </c>
      <c r="U83" s="21">
        <f>20*LOG10(Ported!C$29*50000*IMABS(N83))</f>
        <v>101.55753864307289</v>
      </c>
      <c r="V83" s="22">
        <f>20*LOG10(Ported!C$29*50000*IMABS(P83))</f>
        <v>95.206315515980165</v>
      </c>
      <c r="W83" s="22">
        <f>20*LOG10(Ported!C$29*50000*IMABS(R83))</f>
        <v>83.165115689420901</v>
      </c>
      <c r="X83" s="28">
        <f>1000*Ported!C$29*IMABS(H83)</f>
        <v>5.1231131441394773</v>
      </c>
      <c r="Y83" s="28">
        <f>1000*Ported!C$29*IMABS(J83)</f>
        <v>14.309798048930546</v>
      </c>
      <c r="Z83" s="28">
        <f>Ported!C$29*IMABS(IMPRODUCT(C83,J83))</f>
        <v>4.7203334246117565</v>
      </c>
      <c r="AA83" s="28">
        <f>1000*Ported!C$29*IMABS(L83)</f>
        <v>3.57744951223262</v>
      </c>
      <c r="AB83" s="41" t="str">
        <f t="shared" si="17"/>
        <v>-0.000955774822267547+0.113774477943383i</v>
      </c>
      <c r="AC83" s="28">
        <f>20*LOG10(Ported!C$29*50000*IMABS(AB83))</f>
        <v>104.92783746343194</v>
      </c>
      <c r="AD83" s="28">
        <f t="shared" si="18"/>
        <v>176356.66324713288</v>
      </c>
      <c r="AE83" s="23">
        <f t="shared" si="19"/>
        <v>90.48130807839884</v>
      </c>
      <c r="AG83" s="64"/>
    </row>
    <row r="84" spans="2:33" s="8" customFormat="1" x14ac:dyDescent="0.25">
      <c r="B84" s="24">
        <v>53.7</v>
      </c>
      <c r="C84" s="17" t="str">
        <f t="shared" si="10"/>
        <v>337.407050995544i</v>
      </c>
      <c r="D84" s="18" t="str">
        <f>COMPLEX(Ported!C$19,2*PI()*B84*Ported!C$20)</f>
        <v>6</v>
      </c>
      <c r="E84" s="19" t="str">
        <f>IMSUB(COMPLEX(1,0),IMDIV(COMPLEX(Ported!C$41,0),IMSUM(COMPLEX(Ported!C$41,0),IMPRODUCT(C84,COMPLEX(Ported!C$42,0)))))</f>
        <v>0.993670922127659+0.0793033457404356i</v>
      </c>
      <c r="F84" s="19" t="str">
        <f>IMDIV(IMPRODUCT(C84,COMPLEX((Ported!C$42*Ported!C$14/Ported!C$24),0)),IMSUM(COMPLEX(Ported!C$41,0),IMPRODUCT(C84,COMPLEX(Ported!C$42,0))))</f>
        <v>5.76638048074081+0.4602059441932i</v>
      </c>
      <c r="G84" s="30" t="str">
        <f>IMPRODUCT(F84,IMSUB(COMPLEX(1,0),IMDIV(IMPRODUCT(COMPLEX(Ported!C$41,0),E84),IMSUM(COMPLEX(0-(2*PI()*B84)^2*Ported!C$38,0),IMPRODUCT(C84,COMPLEX(0,0)),IMPRODUCT(COMPLEX(Ported!C$41,0),E84)))))</f>
        <v>8.32393801942995+0.96572290956332i</v>
      </c>
      <c r="H84" s="32" t="str">
        <f>IMDIV(COMPLEX(Ported!C$18,0),IMPRODUCT(D84,IMSUM(COMPLEX(Ported!C$16-(2*PI()*B84)^2*Ported!C$15,0),IMPRODUCT(C84,IMSUM(COMPLEX(Ported!C$17,0),IMDIV(COMPLEX(Ported!C$18^2,0),D84))),IMPRODUCT(COMPLEX(Ported!C$14*Ported!C$41/Ported!C$24,0),G84))))</f>
        <v>-0.0000236298047610968-0.000159656915380283i</v>
      </c>
      <c r="I84" s="27">
        <f t="shared" si="11"/>
        <v>-98.418867010954642</v>
      </c>
      <c r="J84" s="20" t="str">
        <f>IMPRODUCT(IMDIV(IMPRODUCT(COMPLEX(-Ported!C$41,0),F84),IMSUM(IMPRODUCT(COMPLEX(Ported!C$41,0),E84),COMPLEX(Calculations!C$3-(2*PI()*B84)^2*Ported!C$38,0),IMPRODUCT(COMPLEX(Calculations!C$4,0),C84))),H84)</f>
        <v>-0.0000132669671326267-0.000421895106833479i</v>
      </c>
      <c r="K84" s="27">
        <f t="shared" si="12"/>
        <v>-91.801136828590401</v>
      </c>
      <c r="L84" s="40" t="str">
        <f>IMSUM(IMPRODUCT(COMPLEX(-(Ported!C$14/Ported!C$24),0),H84),IMDIV(IMPRODUCT(COMPLEX(-Ported!C$41,0),J84),IMSUM(COMPLEX(Ported!C$41,0),IMPRODUCT(COMPLEX(Ported!C$42,0),C84))),IMDIV(IMPRODUCT(COMPLEX(Ported!C$42*Ported!C$14/Ported!C$24,0),C84,H84),IMSUM(COMPLEX(Ported!C$41,0),IMPRODUCT(COMPLEX(Ported!C$42,0),C84))))</f>
        <v>0.000107884605890275-3.39255302391286E-06i</v>
      </c>
      <c r="M84" s="28">
        <f t="shared" si="13"/>
        <v>-1.8011368285895106</v>
      </c>
      <c r="N84" s="39" t="str">
        <f>IMPRODUCT(COMPLEX((Ported!C$10*Ported!C$14)/(2*PI()),0),C84,C84,H84)</f>
        <v>0.0115468381478212+0.0780172574303974i</v>
      </c>
      <c r="O84" s="28">
        <f t="shared" si="14"/>
        <v>81.581132989045386</v>
      </c>
      <c r="P84" s="26" t="str">
        <f>IMPRODUCT(COMPLEX((Ported!C$10*Ported!C$24)/(2*PI()),0),C84,C84,J84)</f>
        <v>0.00111715616003624+0.0355260334013395i</v>
      </c>
      <c r="Q84" s="23">
        <f t="shared" si="15"/>
        <v>88.198863171409613</v>
      </c>
      <c r="R84" s="41" t="str">
        <f>IMPRODUCT(COMPLEX((Ported!C$10*Ported!C$24)/(2*PI()),0),C84,C84,L84)</f>
        <v>-0.00908451425548536+0.00028567278949484i</v>
      </c>
      <c r="S84" s="33">
        <f t="shared" si="16"/>
        <v>178.19886317141049</v>
      </c>
      <c r="T84" s="38">
        <f>IMABS(IMDIV(D84,IMSUB(COMPLEX(1,0),IMPRODUCT(COMPLEX(Ported!C$18,0),IMPRODUCT(C84,H84)))))</f>
        <v>27.071667512859371</v>
      </c>
      <c r="U84" s="21">
        <f>20*LOG10(Ported!C$29*50000*IMABS(N84))</f>
        <v>101.74455312103377</v>
      </c>
      <c r="V84" s="22">
        <f>20*LOG10(Ported!C$29*50000*IMABS(P84))</f>
        <v>94.821860796845371</v>
      </c>
      <c r="W84" s="22">
        <f>20*LOG10(Ported!C$29*50000*IMABS(R84))</f>
        <v>82.976960616158081</v>
      </c>
      <c r="X84" s="28">
        <f>1000*Ported!C$29*IMABS(H84)</f>
        <v>5.0032788317286911</v>
      </c>
      <c r="Y84" s="28">
        <f>1000*Ported!C$29*IMABS(J84)</f>
        <v>13.085213232387179</v>
      </c>
      <c r="Z84" s="28">
        <f>Ported!C$29*IMABS(IMPRODUCT(C84,J84))</f>
        <v>4.4150432083876243</v>
      </c>
      <c r="AA84" s="28">
        <f>1000*Ported!C$29*IMABS(L84)</f>
        <v>3.3460759551389949</v>
      </c>
      <c r="AB84" s="41" t="str">
        <f t="shared" si="17"/>
        <v>0.00357948005237208+0.113828963621232i</v>
      </c>
      <c r="AC84" s="28">
        <f>20*LOG10(Ported!C$29*50000*IMABS(AB84))</f>
        <v>104.9359820360411</v>
      </c>
      <c r="AD84" s="28">
        <f t="shared" si="18"/>
        <v>176522.10666588222</v>
      </c>
      <c r="AE84" s="23">
        <f t="shared" si="19"/>
        <v>88.198863171409627</v>
      </c>
      <c r="AG84" s="64"/>
    </row>
    <row r="85" spans="2:33" s="8" customFormat="1" x14ac:dyDescent="0.25">
      <c r="B85" s="24">
        <v>55</v>
      </c>
      <c r="C85" s="17" t="str">
        <f t="shared" si="10"/>
        <v>345.575191894877i</v>
      </c>
      <c r="D85" s="18" t="str">
        <f>COMPLEX(Ported!C$19,2*PI()*B85*Ported!C$20)</f>
        <v>6</v>
      </c>
      <c r="E85" s="19" t="str">
        <f>IMSUB(COMPLEX(1,0),IMDIV(COMPLEX(Ported!C$41,0),IMSUM(COMPLEX(Ported!C$41,0),IMPRODUCT(C85,COMPLEX(Ported!C$42,0)))))</f>
        <v>0.993964794635373+0.0774518021793801i</v>
      </c>
      <c r="F85" s="19" t="str">
        <f>IMDIV(IMPRODUCT(C85,COMPLEX((Ported!C$42*Ported!C$14/Ported!C$24),0)),IMSUM(COMPLEX(Ported!C$41,0),IMPRODUCT(C85,COMPLEX(Ported!C$42,0))))</f>
        <v>5.76808585487886+0.449461235445108i</v>
      </c>
      <c r="G85" s="30" t="str">
        <f>IMPRODUCT(F85,IMSUB(COMPLEX(1,0),IMDIV(IMPRODUCT(COMPLEX(Ported!C$41,0),E85),IMSUM(COMPLEX(0-(2*PI()*B85)^2*Ported!C$38,0),IMPRODUCT(C85,COMPLEX(0,0)),IMPRODUCT(COMPLEX(Ported!C$41,0),E85)))))</f>
        <v>8.16048766695208+0.905196951292169i</v>
      </c>
      <c r="H85" s="32" t="str">
        <f>IMDIV(COMPLEX(Ported!C$18,0),IMPRODUCT(D85,IMSUM(COMPLEX(Ported!C$16-(2*PI()*B85)^2*Ported!C$15,0),IMPRODUCT(C85,IMSUM(COMPLEX(Ported!C$17,0),IMDIV(COMPLEX(Ported!C$18^2,0),D85))),IMPRODUCT(COMPLEX(Ported!C$14*Ported!C$41/Ported!C$24,0),G85))))</f>
        <v>-0.0000285528798080499-0.000154542521079032i</v>
      </c>
      <c r="I85" s="27">
        <f t="shared" si="11"/>
        <v>-100.46777953263688</v>
      </c>
      <c r="J85" s="20" t="str">
        <f>IMPRODUCT(IMDIV(IMPRODUCT(COMPLEX(-Ported!C$41,0),F85),IMSUM(IMPRODUCT(COMPLEX(Ported!C$41,0),E85),COMPLEX(Calculations!C$3-(2*PI()*B85)^2*Ported!C$38,0),IMPRODUCT(COMPLEX(Calculations!C$4,0),C85))),H85)</f>
        <v>-0.0000277033402127042-0.000382905614986508i</v>
      </c>
      <c r="K85" s="27">
        <f t="shared" si="12"/>
        <v>-94.138157013597109</v>
      </c>
      <c r="L85" s="40" t="str">
        <f>IMSUM(IMPRODUCT(COMPLEX(-(Ported!C$14/Ported!C$24),0),H85),IMDIV(IMPRODUCT(COMPLEX(-Ported!C$41,0),J85),IMSUM(COMPLEX(Ported!C$41,0),IMPRODUCT(COMPLEX(Ported!C$42,0),C85))),IMDIV(IMPRODUCT(COMPLEX(Ported!C$42*Ported!C$14/Ported!C$24,0),C85,H85),IMSUM(COMPLEX(Ported!C$41,0),IMPRODUCT(COMPLEX(Ported!C$42,0),C85))))</f>
        <v>0.000100284803925038-7.25563672238018E-06i</v>
      </c>
      <c r="M85" s="28">
        <f t="shared" si="13"/>
        <v>-4.1381570136001011</v>
      </c>
      <c r="N85" s="39" t="str">
        <f>IMPRODUCT(COMPLEX((Ported!C$10*Ported!C$14)/(2*PI()),0),C85,C85,H85)</f>
        <v>0.0146362449713568+0.079218706211416i</v>
      </c>
      <c r="O85" s="28">
        <f t="shared" si="14"/>
        <v>79.532220467363089</v>
      </c>
      <c r="P85" s="26" t="str">
        <f>IMPRODUCT(COMPLEX((Ported!C$10*Ported!C$24)/(2*PI()),0),C85,C85,J85)</f>
        <v>0.00244709694235174+0.0338228947285246i</v>
      </c>
      <c r="Q85" s="23">
        <f t="shared" si="15"/>
        <v>85.861842986402891</v>
      </c>
      <c r="R85" s="41" t="str">
        <f>IMPRODUCT(COMPLEX((Ported!C$10*Ported!C$24)/(2*PI()),0),C85,C85,L85)</f>
        <v>-0.00885837719080408+0.000640906342044969i</v>
      </c>
      <c r="S85" s="33">
        <f t="shared" si="16"/>
        <v>175.86184298639992</v>
      </c>
      <c r="T85" s="38">
        <f>IMABS(IMDIV(D85,IMSUB(COMPLEX(1,0),IMPRODUCT(COMPLEX(Ported!C$18,0),IMPRODUCT(C85,H85)))))</f>
        <v>24.599467568185577</v>
      </c>
      <c r="U85" s="21">
        <f>20*LOG10(Ported!C$29*50000*IMABS(N85))</f>
        <v>101.92896253983002</v>
      </c>
      <c r="V85" s="22">
        <f>20*LOG10(Ported!C$29*50000*IMABS(P85))</f>
        <v>94.41352358590288</v>
      </c>
      <c r="W85" s="22">
        <f>20*LOG10(Ported!C$29*50000*IMABS(R85))</f>
        <v>82.776391481109428</v>
      </c>
      <c r="X85" s="28">
        <f>1000*Ported!C$29*IMABS(H85)</f>
        <v>4.8719000517140074</v>
      </c>
      <c r="Y85" s="28">
        <f>1000*Ported!C$29*IMABS(J85)</f>
        <v>11.901100866318982</v>
      </c>
      <c r="Z85" s="28">
        <f>Ported!C$29*IMABS(IMPRODUCT(C85,J85))</f>
        <v>4.1127252156384575</v>
      </c>
      <c r="AA85" s="28">
        <f>1000*Ported!C$29*IMABS(L85)</f>
        <v>3.116954988797846</v>
      </c>
      <c r="AB85" s="41" t="str">
        <f t="shared" si="17"/>
        <v>0.00822496472290446+0.113682507281986i</v>
      </c>
      <c r="AC85" s="28">
        <f>20*LOG10(Ported!C$29*50000*IMABS(AB85))</f>
        <v>104.94318097688618</v>
      </c>
      <c r="AD85" s="28">
        <f t="shared" si="18"/>
        <v>176668.4703679042</v>
      </c>
      <c r="AE85" s="23">
        <f t="shared" si="19"/>
        <v>85.86184298640292</v>
      </c>
      <c r="AG85" s="64"/>
    </row>
    <row r="86" spans="2:33" s="8" customFormat="1" x14ac:dyDescent="0.25">
      <c r="B86" s="24">
        <v>56.2</v>
      </c>
      <c r="C86" s="17" t="str">
        <f t="shared" si="10"/>
        <v>353.115014263493i</v>
      </c>
      <c r="D86" s="18" t="str">
        <f>COMPLEX(Ported!C$19,2*PI()*B86*Ported!C$20)</f>
        <v>6</v>
      </c>
      <c r="E86" s="19" t="str">
        <f>IMSUB(COMPLEX(1,0),IMDIV(COMPLEX(Ported!C$41,0),IMSUM(COMPLEX(Ported!C$41,0),IMPRODUCT(C86,COMPLEX(Ported!C$42,0)))))</f>
        <v>0.99421830003117+0.0758173589245939i</v>
      </c>
      <c r="F86" s="19" t="str">
        <f>IMDIV(IMPRODUCT(C86,COMPLEX((Ported!C$42*Ported!C$14/Ported!C$24),0)),IMSUM(COMPLEX(Ported!C$41,0),IMPRODUCT(C86,COMPLEX(Ported!C$42,0))))</f>
        <v>5.76955697427417+0.439976383396609i</v>
      </c>
      <c r="G86" s="30" t="str">
        <f>IMPRODUCT(F86,IMSUB(COMPLEX(1,0),IMDIV(IMPRODUCT(COMPLEX(Ported!C$41,0),E86),IMSUM(COMPLEX(0-(2*PI()*B86)^2*Ported!C$38,0),IMPRODUCT(C86,COMPLEX(0,0)),IMPRODUCT(COMPLEX(Ported!C$41,0),E86)))))</f>
        <v>8.0244103556601+0.855783882404479i</v>
      </c>
      <c r="H86" s="32" t="str">
        <f>IMDIV(COMPLEX(Ported!C$18,0),IMPRODUCT(D86,IMSUM(COMPLEX(Ported!C$16-(2*PI()*B86)^2*Ported!C$15,0),IMPRODUCT(C86,IMSUM(COMPLEX(Ported!C$17,0),IMDIV(COMPLEX(Ported!C$18^2,0),D86))),IMPRODUCT(COMPLEX(Ported!C$14*Ported!C$41/Ported!C$24,0),G86))))</f>
        <v>-0.0000325608422093179-0.000149737956294071i</v>
      </c>
      <c r="I86" s="27">
        <f t="shared" si="11"/>
        <v>-102.26810317801944</v>
      </c>
      <c r="J86" s="20" t="str">
        <f>IMPRODUCT(IMDIV(IMPRODUCT(COMPLEX(-Ported!C$41,0),F86),IMSUM(IMPRODUCT(COMPLEX(Ported!C$41,0),E86),COMPLEX(Calculations!C$3-(2*PI()*B86)^2*Ported!C$38,0),IMPRODUCT(COMPLEX(Calculations!C$4,0),C86))),H86)</f>
        <v>-0.000037937844901132-0.000350325308055114i</v>
      </c>
      <c r="K86" s="27">
        <f t="shared" si="12"/>
        <v>-96.180656753295253</v>
      </c>
      <c r="L86" s="40" t="str">
        <f>IMSUM(IMPRODUCT(COMPLEX(-(Ported!C$14/Ported!C$24),0),H86),IMDIV(IMPRODUCT(COMPLEX(-Ported!C$41,0),J86),IMSUM(COMPLEX(Ported!C$41,0),IMPRODUCT(COMPLEX(Ported!C$42,0),C86))),IMDIV(IMPRODUCT(COMPLEX(Ported!C$42*Ported!C$14/Ported!C$24,0),C86,H86),IMSUM(COMPLEX(Ported!C$41,0),IMPRODUCT(COMPLEX(Ported!C$42,0),C86))))</f>
        <v>0.0000937537252985579-0.0000101528899211679i</v>
      </c>
      <c r="M86" s="28">
        <f t="shared" si="13"/>
        <v>-6.180656753300048</v>
      </c>
      <c r="N86" s="39" t="str">
        <f>IMPRODUCT(COMPLEX((Ported!C$10*Ported!C$14)/(2*PI()),0),C86,C86,H86)</f>
        <v>0.0174270001305776+0.0801417655942097i</v>
      </c>
      <c r="O86" s="28">
        <f t="shared" si="14"/>
        <v>77.731896821980584</v>
      </c>
      <c r="P86" s="26" t="str">
        <f>IMPRODUCT(COMPLEX((Ported!C$10*Ported!C$24)/(2*PI()),0),C86,C86,J86)</f>
        <v>0.00349895975927841+0.0323100629130644i</v>
      </c>
      <c r="Q86" s="23">
        <f t="shared" si="15"/>
        <v>83.819343246704733</v>
      </c>
      <c r="R86" s="41" t="str">
        <f>IMPRODUCT(COMPLEX((Ported!C$10*Ported!C$24)/(2*PI()),0),C86,C86,L86)</f>
        <v>-0.00864678826530571+0.00093638827843618i</v>
      </c>
      <c r="S86" s="33">
        <f t="shared" si="16"/>
        <v>173.81934324669996</v>
      </c>
      <c r="T86" s="38">
        <f>IMABS(IMDIV(D86,IMSUB(COMPLEX(1,0),IMPRODUCT(COMPLEX(Ported!C$18,0),IMPRODUCT(C86,H86)))))</f>
        <v>22.579917167366887</v>
      </c>
      <c r="U86" s="21">
        <f>20*LOG10(Ported!C$29*50000*IMABS(N86))</f>
        <v>102.08446275278803</v>
      </c>
      <c r="V86" s="22">
        <f>20*LOG10(Ported!C$29*50000*IMABS(P86))</f>
        <v>94.044025219259623</v>
      </c>
      <c r="W86" s="22">
        <f>20*LOG10(Ported!C$29*50000*IMABS(R86))</f>
        <v>82.594365635962447</v>
      </c>
      <c r="X86" s="28">
        <f>1000*Ported!C$29*IMABS(H86)</f>
        <v>4.7503556818922004</v>
      </c>
      <c r="Y86" s="28">
        <f>1000*Ported!C$29*IMABS(J86)</f>
        <v>10.923579293418728</v>
      </c>
      <c r="Z86" s="28">
        <f>Ported!C$29*IMABS(IMPRODUCT(C86,J86))</f>
        <v>3.8572798580039462</v>
      </c>
      <c r="AA86" s="28">
        <f>1000*Ported!C$29*IMABS(L86)</f>
        <v>2.9233578870958592</v>
      </c>
      <c r="AB86" s="41" t="str">
        <f t="shared" si="17"/>
        <v>0.0122791716245503+0.11338821678571i</v>
      </c>
      <c r="AC86" s="28">
        <f>20*LOG10(Ported!C$29*50000*IMABS(AB86))</f>
        <v>104.94862765323558</v>
      </c>
      <c r="AD86" s="28">
        <f t="shared" si="18"/>
        <v>176779.28892353919</v>
      </c>
      <c r="AE86" s="23">
        <f t="shared" si="19"/>
        <v>83.819343246704747</v>
      </c>
      <c r="AG86" s="64"/>
    </row>
    <row r="87" spans="2:33" s="8" customFormat="1" x14ac:dyDescent="0.25">
      <c r="B87" s="24">
        <v>57.5</v>
      </c>
      <c r="C87" s="17" t="str">
        <f t="shared" si="10"/>
        <v>361.283155162826i</v>
      </c>
      <c r="D87" s="18" t="str">
        <f>COMPLEX(Ported!C$19,2*PI()*B87*Ported!C$20)</f>
        <v>6</v>
      </c>
      <c r="E87" s="19" t="str">
        <f>IMSUB(COMPLEX(1,0),IMDIV(COMPLEX(Ported!C$41,0),IMSUM(COMPLEX(Ported!C$41,0),IMPRODUCT(C87,COMPLEX(Ported!C$42,0)))))</f>
        <v>0.994475350086323+0.074122386341838i</v>
      </c>
      <c r="F87" s="19" t="str">
        <f>IMDIV(IMPRODUCT(C87,COMPLEX((Ported!C$42*Ported!C$14/Ported!C$24),0)),IMSUM(COMPLEX(Ported!C$41,0),IMPRODUCT(C87,COMPLEX(Ported!C$42,0))))</f>
        <v>5.77104866371338+0.430140273071806i</v>
      </c>
      <c r="G87" s="30" t="str">
        <f>IMPRODUCT(F87,IMSUB(COMPLEX(1,0),IMDIV(IMPRODUCT(COMPLEX(Ported!C$41,0),E87),IMSUM(COMPLEX(0-(2*PI()*B87)^2*Ported!C$38,0),IMPRODUCT(C87,COMPLEX(0,0)),IMPRODUCT(COMPLEX(Ported!C$41,0),E87)))))</f>
        <v>7.89086136441558+0.808117898544976i</v>
      </c>
      <c r="H87" s="32" t="str">
        <f>IMDIV(COMPLEX(Ported!C$18,0),IMPRODUCT(D87,IMSUM(COMPLEX(Ported!C$16-(2*PI()*B87)^2*Ported!C$15,0),IMPRODUCT(C87,IMSUM(COMPLEX(Ported!C$17,0),IMDIV(COMPLEX(Ported!C$18^2,0),D87))),IMPRODUCT(COMPLEX(Ported!C$14*Ported!C$41/Ported!C$24,0),G87))))</f>
        <v>-0.0000363692418142899-0.000144506349642297i</v>
      </c>
      <c r="I87" s="27">
        <f t="shared" si="11"/>
        <v>-104.12675898178773</v>
      </c>
      <c r="J87" s="20" t="str">
        <f>IMPRODUCT(IMDIV(IMPRODUCT(COMPLEX(-Ported!C$41,0),F87),IMSUM(IMPRODUCT(COMPLEX(Ported!C$41,0),E87),COMPLEX(Calculations!C$3-(2*PI()*B87)^2*Ported!C$38,0),IMPRODUCT(COMPLEX(Calculations!C$4,0),C87))),H87)</f>
        <v>-0.000046332198030251-0.00031839793902899i</v>
      </c>
      <c r="K87" s="27">
        <f t="shared" si="12"/>
        <v>-98.279376797325469</v>
      </c>
      <c r="L87" s="40" t="str">
        <f>IMSUM(IMPRODUCT(COMPLEX(-(Ported!C$14/Ported!C$24),0),H87),IMDIV(IMPRODUCT(COMPLEX(-Ported!C$41,0),J87),IMSUM(COMPLEX(Ported!C$41,0),IMPRODUCT(COMPLEX(Ported!C$42,0),C87))),IMDIV(IMPRODUCT(COMPLEX(Ported!C$42*Ported!C$14/Ported!C$24,0),C87,H87),IMSUM(COMPLEX(Ported!C$41,0),IMPRODUCT(COMPLEX(Ported!C$42,0),C87))))</f>
        <v>0.0000871803880674611-0.0000126861970797103i</v>
      </c>
      <c r="M87" s="28">
        <f t="shared" si="13"/>
        <v>-8.2793767973246979</v>
      </c>
      <c r="N87" s="39" t="str">
        <f>IMPRODUCT(COMPLEX((Ported!C$10*Ported!C$14)/(2*PI()),0),C87,C87,H87)</f>
        <v>0.020376252347011+0.0809612106046136i</v>
      </c>
      <c r="O87" s="28">
        <f t="shared" si="14"/>
        <v>75.873241018212255</v>
      </c>
      <c r="P87" s="26" t="str">
        <f>IMPRODUCT(COMPLEX((Ported!C$10*Ported!C$24)/(2*PI()),0),C87,C87,J87)</f>
        <v>0.00447313755215423+0.0307396980533749i</v>
      </c>
      <c r="Q87" s="23">
        <f t="shared" si="15"/>
        <v>81.720623202674517</v>
      </c>
      <c r="R87" s="41" t="str">
        <f>IMPRODUCT(COMPLEX((Ported!C$10*Ported!C$24)/(2*PI()),0),C87,C87,L87)</f>
        <v>-0.00841682208604309+0.00122478766308973i</v>
      </c>
      <c r="S87" s="33">
        <f t="shared" si="16"/>
        <v>171.72062320267528</v>
      </c>
      <c r="T87" s="38">
        <f>IMABS(IMDIV(D87,IMSUB(COMPLEX(1,0),IMPRODUCT(COMPLEX(Ported!C$18,0),IMPRODUCT(C87,H87)))))</f>
        <v>20.702142171106427</v>
      </c>
      <c r="U87" s="21">
        <f>20*LOG10(Ported!C$29*50000*IMABS(N87))</f>
        <v>102.2389052186121</v>
      </c>
      <c r="V87" s="22">
        <f>20*LOG10(Ported!C$29*50000*IMABS(P87))</f>
        <v>93.651628041176878</v>
      </c>
      <c r="W87" s="22">
        <f>20*LOG10(Ported!C$29*50000*IMABS(R87))</f>
        <v>82.400599040291041</v>
      </c>
      <c r="X87" s="28">
        <f>1000*Ported!C$29*IMABS(H87)</f>
        <v>4.6193959962793452</v>
      </c>
      <c r="Y87" s="28">
        <f>1000*Ported!C$29*IMABS(J87)</f>
        <v>9.9742913164939271</v>
      </c>
      <c r="Z87" s="28">
        <f>Ported!C$29*IMABS(IMPRODUCT(C87,J87))</f>
        <v>3.6035434373361155</v>
      </c>
      <c r="AA87" s="28">
        <f>1000*Ported!C$29*IMABS(L87)</f>
        <v>2.7310559557066507</v>
      </c>
      <c r="AB87" s="41" t="str">
        <f t="shared" si="17"/>
        <v>0.0164325678131221+0.112925696321078i</v>
      </c>
      <c r="AC87" s="28">
        <f>20*LOG10(Ported!C$29*50000*IMABS(AB87))</f>
        <v>104.95349163997557</v>
      </c>
      <c r="AD87" s="28">
        <f t="shared" si="18"/>
        <v>176878.3107798016</v>
      </c>
      <c r="AE87" s="23">
        <f t="shared" si="19"/>
        <v>81.720623202674489</v>
      </c>
      <c r="AG87" s="64"/>
    </row>
    <row r="88" spans="2:33" s="8" customFormat="1" x14ac:dyDescent="0.25">
      <c r="B88" s="24">
        <v>58.9</v>
      </c>
      <c r="C88" s="17" t="str">
        <f t="shared" si="10"/>
        <v>370.079614592878i</v>
      </c>
      <c r="D88" s="18" t="str">
        <f>COMPLEX(Ported!C$19,2*PI()*B88*Ported!C$20)</f>
        <v>6</v>
      </c>
      <c r="E88" s="19" t="str">
        <f>IMSUB(COMPLEX(1,0),IMDIV(COMPLEX(Ported!C$41,0),IMSUM(COMPLEX(Ported!C$41,0),IMPRODUCT(C88,COMPLEX(Ported!C$42,0)))))</f>
        <v>0.994733494024183+0.0723793471276388i</v>
      </c>
      <c r="F88" s="19" t="str">
        <f>IMDIV(IMPRODUCT(C88,COMPLEX((Ported!C$42*Ported!C$14/Ported!C$24),0)),IMSUM(COMPLEX(Ported!C$41,0),IMPRODUCT(C88,COMPLEX(Ported!C$42,0))))</f>
        <v>5.77254670107297+0.42002522685469i</v>
      </c>
      <c r="G88" s="30" t="str">
        <f>IMPRODUCT(F88,IMSUB(COMPLEX(1,0),IMDIV(IMPRODUCT(COMPLEX(Ported!C$41,0),E88),IMSUM(COMPLEX(0-(2*PI()*B88)^2*Ported!C$38,0),IMPRODUCT(C88,COMPLEX(0,0)),IMPRODUCT(COMPLEX(Ported!C$41,0),E88)))))</f>
        <v>7.7610308762536+0.76253242705179i</v>
      </c>
      <c r="H88" s="32" t="str">
        <f>IMDIV(COMPLEX(Ported!C$18,0),IMPRODUCT(D88,IMSUM(COMPLEX(Ported!C$16-(2*PI()*B88)^2*Ported!C$15,0),IMPRODUCT(C88,IMSUM(COMPLEX(Ported!C$17,0),IMDIV(COMPLEX(Ported!C$18^2,0),D88))),IMPRODUCT(COMPLEX(Ported!C$14*Ported!C$41/Ported!C$24,0),G88))))</f>
        <v>-0.0000399059822952651-0.000138900822735419i</v>
      </c>
      <c r="I88" s="27">
        <f t="shared" si="11"/>
        <v>-106.02927306371149</v>
      </c>
      <c r="J88" s="20" t="str">
        <f>IMPRODUCT(IMDIV(IMPRODUCT(COMPLEX(-Ported!C$41,0),F88),IMSUM(IMPRODUCT(COMPLEX(Ported!C$41,0),E88),COMPLEX(Calculations!C$3-(2*PI()*B88)^2*Ported!C$38,0),IMPRODUCT(COMPLEX(Calculations!C$4,0),C88))),H88)</f>
        <v>-0.0000528695758788798-0.000287557934390857i</v>
      </c>
      <c r="K88" s="27">
        <f t="shared" si="12"/>
        <v>-100.41789041637352</v>
      </c>
      <c r="L88" s="40" t="str">
        <f>IMSUM(IMPRODUCT(COMPLEX(-(Ported!C$14/Ported!C$24),0),H88),IMDIV(IMPRODUCT(COMPLEX(-Ported!C$41,0),J88),IMSUM(COMPLEX(Ported!C$41,0),IMPRODUCT(COMPLEX(Ported!C$42,0),C88))),IMDIV(IMPRODUCT(COMPLEX(Ported!C$42*Ported!C$14/Ported!C$24,0),C88,H88),IMSUM(COMPLEX(Ported!C$41,0),IMPRODUCT(COMPLEX(Ported!C$42,0),C88))))</f>
        <v>0.0000806531539791506-0.0000148286572345986i</v>
      </c>
      <c r="M88" s="28">
        <f t="shared" si="13"/>
        <v>-10.417890416372421</v>
      </c>
      <c r="N88" s="39" t="str">
        <f>IMPRODUCT(COMPLEX((Ported!C$10*Ported!C$14)/(2*PI()),0),C88,C88,H88)</f>
        <v>0.0234597277987584+0.0816563157946159i</v>
      </c>
      <c r="O88" s="28">
        <f t="shared" si="14"/>
        <v>73.9707269362885</v>
      </c>
      <c r="P88" s="26" t="str">
        <f>IMPRODUCT(COMPLEX((Ported!C$10*Ported!C$24)/(2*PI()),0),C88,C88,J88)</f>
        <v>0.00535587060353808+0.0291306117368225i</v>
      </c>
      <c r="Q88" s="23">
        <f t="shared" si="15"/>
        <v>79.582109583626476</v>
      </c>
      <c r="R88" s="41" t="str">
        <f>IMPRODUCT(COMPLEX((Ported!C$10*Ported!C$24)/(2*PI()),0),C88,C88,L88)</f>
        <v>-0.00817044300618505+0.00150219418356362i</v>
      </c>
      <c r="S88" s="33">
        <f t="shared" si="16"/>
        <v>169.58210958362761</v>
      </c>
      <c r="T88" s="38">
        <f>IMABS(IMDIV(D88,IMSUB(COMPLEX(1,0),IMPRODUCT(COMPLEX(Ported!C$18,0),IMPRODUCT(C88,H88)))))</f>
        <v>19.006949193329575</v>
      </c>
      <c r="U88" s="21">
        <f>20*LOG10(Ported!C$29*50000*IMABS(N88))</f>
        <v>102.39087057232537</v>
      </c>
      <c r="V88" s="22">
        <f>20*LOG10(Ported!C$29*50000*IMABS(P88))</f>
        <v>93.238005803716646</v>
      </c>
      <c r="W88" s="22">
        <f>20*LOG10(Ported!C$29*50000*IMABS(R88))</f>
        <v>82.195925804780344</v>
      </c>
      <c r="X88" s="28">
        <f>1000*Ported!C$29*IMABS(H88)</f>
        <v>4.4801088007240155</v>
      </c>
      <c r="Y88" s="28">
        <f>1000*Ported!C$29*IMABS(J88)</f>
        <v>9.0637107265757226</v>
      </c>
      <c r="Z88" s="28">
        <f>Ported!C$29*IMABS(IMPRODUCT(C88,J88))</f>
        <v>3.3542945724724644</v>
      </c>
      <c r="AA88" s="28">
        <f>1000*Ported!C$29*IMABS(L88)</f>
        <v>2.542155056168157</v>
      </c>
      <c r="AB88" s="41" t="str">
        <f t="shared" si="17"/>
        <v>0.0206451553961114+0.112289121715002i</v>
      </c>
      <c r="AC88" s="28">
        <f>20*LOG10(Ported!C$29*50000*IMABS(AB88))</f>
        <v>104.95776740641419</v>
      </c>
      <c r="AD88" s="28">
        <f t="shared" si="18"/>
        <v>176965.40335810542</v>
      </c>
      <c r="AE88" s="23">
        <f t="shared" si="19"/>
        <v>79.58210958362649</v>
      </c>
      <c r="AG88" s="64"/>
    </row>
    <row r="89" spans="2:33" s="8" customFormat="1" x14ac:dyDescent="0.25">
      <c r="B89" s="24">
        <v>60.3</v>
      </c>
      <c r="C89" s="17" t="str">
        <f t="shared" si="10"/>
        <v>378.876074022929i</v>
      </c>
      <c r="D89" s="18" t="str">
        <f>COMPLEX(Ported!C$19,2*PI()*B89*Ported!C$20)</f>
        <v>6</v>
      </c>
      <c r="E89" s="19" t="str">
        <f>IMSUB(COMPLEX(1,0),IMDIV(COMPLEX(Ported!C$41,0),IMSUM(COMPLEX(Ported!C$41,0),IMPRODUCT(C89,COMPLEX(Ported!C$42,0)))))</f>
        <v>0.994973987874243+0.070715990609399i</v>
      </c>
      <c r="F89" s="19" t="str">
        <f>IMDIV(IMPRODUCT(C89,COMPLEX((Ported!C$42*Ported!C$14/Ported!C$24),0)),IMSUM(COMPLEX(Ported!C$41,0),IMPRODUCT(C89,COMPLEX(Ported!C$42,0))))</f>
        <v>5.7739423130526+0.410372587992367i</v>
      </c>
      <c r="G89" s="30" t="str">
        <f>IMPRODUCT(F89,IMSUB(COMPLEX(1,0),IMDIV(IMPRODUCT(COMPLEX(Ported!C$41,0),E89),IMSUM(COMPLEX(0-(2*PI()*B89)^2*Ported!C$38,0),IMPRODUCT(C89,COMPLEX(0,0)),IMPRODUCT(COMPLEX(Ported!C$41,0),E89)))))</f>
        <v>7.64377223515958+0.721967895448494i</v>
      </c>
      <c r="H89" s="32" t="str">
        <f>IMDIV(COMPLEX(Ported!C$18,0),IMPRODUCT(D89,IMSUM(COMPLEX(Ported!C$16-(2*PI()*B89)^2*Ported!C$15,0),IMPRODUCT(C89,IMSUM(COMPLEX(Ported!C$17,0),IMDIV(COMPLEX(Ported!C$18^2,0),D89))),IMPRODUCT(COMPLEX(Ported!C$14*Ported!C$41/Ported!C$24,0),G89))))</f>
        <v>-0.0000429156935125211-0.00013337464246754i</v>
      </c>
      <c r="I89" s="27">
        <f t="shared" si="11"/>
        <v>-107.83651447527386</v>
      </c>
      <c r="J89" s="20" t="str">
        <f>IMPRODUCT(IMDIV(IMPRODUCT(COMPLEX(-Ported!C$41,0),F89),IMSUM(IMPRODUCT(COMPLEX(Ported!C$41,0),E89),COMPLEX(Calculations!C$3-(2*PI()*B89)^2*Ported!C$38,0),IMPRODUCT(COMPLEX(Calculations!C$4,0),C89))),H89)</f>
        <v>-0.0000573613466486328-0.000260010678422481i</v>
      </c>
      <c r="K89" s="27">
        <f t="shared" si="12"/>
        <v>-102.44083331248144</v>
      </c>
      <c r="L89" s="40" t="str">
        <f>IMSUM(IMPRODUCT(COMPLEX(-(Ported!C$14/Ported!C$24),0),H89),IMDIV(IMPRODUCT(COMPLEX(-Ported!C$41,0),J89),IMSUM(COMPLEX(Ported!C$41,0),IMPRODUCT(COMPLEX(Ported!C$42,0),C89))),IMDIV(IMPRODUCT(COMPLEX(Ported!C$42*Ported!C$14/Ported!C$24,0),C89,H89),IMSUM(COMPLEX(Ported!C$41,0),IMPRODUCT(COMPLEX(Ported!C$42,0),C89))))</f>
        <v>0.0000746602090898844-0.0000164709009662525i</v>
      </c>
      <c r="M89" s="28">
        <f t="shared" si="13"/>
        <v>-12.44083331248298</v>
      </c>
      <c r="N89" s="39" t="str">
        <f>IMPRODUCT(COMPLEX((Ported!C$10*Ported!C$14)/(2*PI()),0),C89,C89,H89)</f>
        <v>0.0264426595180658+0.0821792675465898i</v>
      </c>
      <c r="O89" s="28">
        <f t="shared" si="14"/>
        <v>72.163485524726141</v>
      </c>
      <c r="P89" s="26" t="str">
        <f>IMPRODUCT(COMPLEX((Ported!C$10*Ported!C$24)/(2*PI()),0),C89,C89,J89)</f>
        <v>0.00609042532648521+0.0276070161100136i</v>
      </c>
      <c r="Q89" s="23">
        <f t="shared" si="15"/>
        <v>77.559166687518569</v>
      </c>
      <c r="R89" s="41" t="str">
        <f>IMPRODUCT(COMPLEX((Ported!C$10*Ported!C$24)/(2*PI()),0),C89,C89,L89)</f>
        <v>-0.00792715748301824+0.00174882212946242i</v>
      </c>
      <c r="S89" s="33">
        <f t="shared" si="16"/>
        <v>167.55916668751698</v>
      </c>
      <c r="T89" s="38">
        <f>IMABS(IMDIV(D89,IMSUB(COMPLEX(1,0),IMPRODUCT(COMPLEX(Ported!C$18,0),IMPRODUCT(C89,H89)))))</f>
        <v>17.596017823617895</v>
      </c>
      <c r="U89" s="21">
        <f>20*LOG10(Ported!C$29*50000*IMABS(N89))</f>
        <v>102.52973904082309</v>
      </c>
      <c r="V89" s="22">
        <f>20*LOG10(Ported!C$29*50000*IMABS(P89))</f>
        <v>92.833409439146806</v>
      </c>
      <c r="W89" s="22">
        <f>20*LOG10(Ported!C$29*50000*IMABS(R89))</f>
        <v>81.995369787271557</v>
      </c>
      <c r="X89" s="28">
        <f>1000*Ported!C$29*IMABS(H89)</f>
        <v>4.3433812260596687</v>
      </c>
      <c r="Y89" s="28">
        <f>1000*Ported!C$29*IMABS(J89)</f>
        <v>8.2541467021566799</v>
      </c>
      <c r="Z89" s="28">
        <f>Ported!C$29*IMABS(IMPRODUCT(C89,J89))</f>
        <v>3.1272986969224288</v>
      </c>
      <c r="AA89" s="28">
        <f>1000*Ported!C$29*IMABS(L89)</f>
        <v>2.3701192673335925</v>
      </c>
      <c r="AB89" s="41" t="str">
        <f t="shared" si="17"/>
        <v>0.0246059273615328+0.111535105786066i</v>
      </c>
      <c r="AC89" s="28">
        <f>20*LOG10(Ported!C$29*50000*IMABS(AB89))</f>
        <v>104.96125173596637</v>
      </c>
      <c r="AD89" s="28">
        <f t="shared" si="18"/>
        <v>177036.40696303712</v>
      </c>
      <c r="AE89" s="23">
        <f t="shared" si="19"/>
        <v>77.559166687518612</v>
      </c>
      <c r="AG89" s="64"/>
    </row>
    <row r="90" spans="2:33" s="8" customFormat="1" x14ac:dyDescent="0.25">
      <c r="B90" s="24">
        <v>61.7</v>
      </c>
      <c r="C90" s="17" t="str">
        <f t="shared" si="10"/>
        <v>387.67253345298i</v>
      </c>
      <c r="D90" s="18" t="str">
        <f>COMPLEX(Ported!C$19,2*PI()*B90*Ported!C$20)</f>
        <v>6</v>
      </c>
      <c r="E90" s="19" t="str">
        <f>IMSUB(COMPLEX(1,0),IMDIV(COMPLEX(Ported!C$41,0),IMSUM(COMPLEX(Ported!C$41,0),IMPRODUCT(C90,COMPLEX(Ported!C$42,0)))))</f>
        <v>0.995198402284365+0.069127001779419i</v>
      </c>
      <c r="F90" s="19" t="str">
        <f>IMDIV(IMPRODUCT(C90,COMPLEX((Ported!C$42*Ported!C$14/Ported!C$24),0)),IMSUM(COMPLEX(Ported!C$41,0),IMPRODUCT(C90,COMPLEX(Ported!C$42,0))))</f>
        <v>5.77524461429269+0.401151512916836i</v>
      </c>
      <c r="G90" s="30" t="str">
        <f>IMPRODUCT(F90,IMSUB(COMPLEX(1,0),IMDIV(IMPRODUCT(COMPLEX(Ported!C$41,0),E90),IMSUM(COMPLEX(0-(2*PI()*B90)^2*Ported!C$38,0),IMPRODUCT(C90,COMPLEX(0,0)),IMPRODUCT(COMPLEX(Ported!C$41,0),E90)))))</f>
        <v>7.53743385581816+0.685651285989959i</v>
      </c>
      <c r="H90" s="32" t="str">
        <f>IMDIV(COMPLEX(Ported!C$18,0),IMPRODUCT(D90,IMSUM(COMPLEX(Ported!C$16-(2*PI()*B90)^2*Ported!C$15,0),IMPRODUCT(C90,IMSUM(COMPLEX(Ported!C$17,0),IMDIV(COMPLEX(Ported!C$18^2,0),D90))),IMPRODUCT(COMPLEX(Ported!C$14*Ported!C$41/Ported!C$24,0),G90))))</f>
        <v>-0.000045454614056928-0.000127965868039915i</v>
      </c>
      <c r="I90" s="27">
        <f t="shared" si="11"/>
        <v>-109.55549066746981</v>
      </c>
      <c r="J90" s="20" t="str">
        <f>IMPRODUCT(IMDIV(IMPRODUCT(COMPLEX(-Ported!C$41,0),F90),IMSUM(IMPRODUCT(COMPLEX(Ported!C$41,0),E90),COMPLEX(Calculations!C$3-(2*PI()*B90)^2*Ported!C$38,0),IMPRODUCT(COMPLEX(Calculations!C$4,0),C90))),H90)</f>
        <v>-0.0000602549762195134-0.000235396938882387i</v>
      </c>
      <c r="K90" s="27">
        <f t="shared" si="12"/>
        <v>-104.35781972613306</v>
      </c>
      <c r="L90" s="40" t="str">
        <f>IMSUM(IMPRODUCT(COMPLEX(-(Ported!C$14/Ported!C$24),0),H90),IMDIV(IMPRODUCT(COMPLEX(-Ported!C$41,0),J90),IMSUM(COMPLEX(Ported!C$41,0),IMPRODUCT(COMPLEX(Ported!C$42,0),C90))),IMDIV(IMPRODUCT(COMPLEX(Ported!C$42*Ported!C$14/Ported!C$24,0),C90,H90),IMSUM(COMPLEX(Ported!C$41,0),IMPRODUCT(COMPLEX(Ported!C$42,0),C90))))</f>
        <v>0.0000691618625192528-0.0000177034858702071i</v>
      </c>
      <c r="M90" s="28">
        <f t="shared" si="13"/>
        <v>-14.357819726131448</v>
      </c>
      <c r="N90" s="39" t="str">
        <f>IMPRODUCT(COMPLEX((Ported!C$10*Ported!C$14)/(2*PI()),0),C90,C90,H90)</f>
        <v>0.0293226135216027+0.0825503366455033i</v>
      </c>
      <c r="O90" s="28">
        <f t="shared" si="14"/>
        <v>70.444509332530174</v>
      </c>
      <c r="P90" s="26" t="str">
        <f>IMPRODUCT(COMPLEX((Ported!C$10*Ported!C$24)/(2*PI()),0),C90,C90,J90)</f>
        <v>0.00669818143837883+0.02616765461709i</v>
      </c>
      <c r="Q90" s="23">
        <f t="shared" si="15"/>
        <v>75.642180273866927</v>
      </c>
      <c r="R90" s="41" t="str">
        <f>IMPRODUCT(COMPLEX((Ported!C$10*Ported!C$24)/(2*PI()),0),C90,C90,L90)</f>
        <v>-0.00768830614225921+0.00196798949879962i</v>
      </c>
      <c r="S90" s="33">
        <f t="shared" si="16"/>
        <v>165.64218027386855</v>
      </c>
      <c r="T90" s="38">
        <f>IMABS(IMDIV(D90,IMSUB(COMPLEX(1,0),IMPRODUCT(COMPLEX(Ported!C$18,0),IMPRODUCT(C90,H90)))))</f>
        <v>16.415258530733176</v>
      </c>
      <c r="U90" s="21">
        <f>20*LOG10(Ported!C$29*50000*IMABS(N90))</f>
        <v>102.65706341973596</v>
      </c>
      <c r="V90" s="22">
        <f>20*LOG10(Ported!C$29*50000*IMABS(P90))</f>
        <v>92.43755235282066</v>
      </c>
      <c r="W90" s="22">
        <f>20*LOG10(Ported!C$29*50000*IMABS(R90))</f>
        <v>81.798869738806957</v>
      </c>
      <c r="X90" s="28">
        <f>1000*Ported!C$29*IMABS(H90)</f>
        <v>4.2097709313814882</v>
      </c>
      <c r="Y90" s="28">
        <f>1000*Ported!C$29*IMABS(J90)</f>
        <v>7.5325777882229854</v>
      </c>
      <c r="Z90" s="28">
        <f>Ported!C$29*IMABS(IMPRODUCT(C90,J90))</f>
        <v>2.9201735145920504</v>
      </c>
      <c r="AA90" s="28">
        <f>1000*Ported!C$29*IMABS(L90)</f>
        <v>2.2131430930159461</v>
      </c>
      <c r="AB90" s="41" t="str">
        <f t="shared" si="17"/>
        <v>0.0283324888177223+0.110685980761393i</v>
      </c>
      <c r="AC90" s="28">
        <f>20*LOG10(Ported!C$29*50000*IMABS(AB90))</f>
        <v>104.96410872536384</v>
      </c>
      <c r="AD90" s="28">
        <f t="shared" si="18"/>
        <v>177094.64789759222</v>
      </c>
      <c r="AE90" s="23">
        <f t="shared" si="19"/>
        <v>75.642180273866856</v>
      </c>
      <c r="AG90" s="64"/>
    </row>
    <row r="91" spans="2:33" s="8" customFormat="1" x14ac:dyDescent="0.25">
      <c r="B91" s="24">
        <v>63.1</v>
      </c>
      <c r="C91" s="17" t="str">
        <f t="shared" si="10"/>
        <v>396.468992883032i</v>
      </c>
      <c r="D91" s="18" t="str">
        <f>COMPLEX(Ported!C$19,2*PI()*B91*Ported!C$20)</f>
        <v>6</v>
      </c>
      <c r="E91" s="19" t="str">
        <f>IMSUB(COMPLEX(1,0),IMDIV(COMPLEX(Ported!C$41,0),IMSUM(COMPLEX(Ported!C$41,0),IMPRODUCT(C91,COMPLEX(Ported!C$42,0)))))</f>
        <v>0.995408137260369+0.0676075257364986i</v>
      </c>
      <c r="F91" s="19" t="str">
        <f>IMDIV(IMPRODUCT(C91,COMPLEX((Ported!C$42*Ported!C$14/Ported!C$24),0)),IMSUM(COMPLEX(Ported!C$41,0),IMPRODUCT(C91,COMPLEX(Ported!C$42,0))))</f>
        <v>5.77646172917941+0.392333828108183i</v>
      </c>
      <c r="G91" s="30" t="str">
        <f>IMPRODUCT(F91,IMSUB(COMPLEX(1,0),IMDIV(IMPRODUCT(COMPLEX(Ported!C$41,0),E91),IMSUM(COMPLEX(0-(2*PI()*B91)^2*Ported!C$38,0),IMPRODUCT(C91,COMPLEX(0,0)),IMPRODUCT(COMPLEX(Ported!C$41,0),E91)))))</f>
        <v>7.44063579922464+0.652957548068909i</v>
      </c>
      <c r="H91" s="32" t="str">
        <f>IMDIV(COMPLEX(Ported!C$18,0),IMPRODUCT(D91,IMSUM(COMPLEX(Ported!C$16-(2*PI()*B91)^2*Ported!C$15,0),IMPRODUCT(C91,IMSUM(COMPLEX(Ported!C$17,0),IMDIV(COMPLEX(Ported!C$18^2,0),D91))),IMPRODUCT(COMPLEX(Ported!C$14*Ported!C$41/Ported!C$24,0),G91))))</f>
        <v>-0.0000475746897553692-0.000122702079781646i</v>
      </c>
      <c r="I91" s="27">
        <f t="shared" si="11"/>
        <v>-111.19256767360422</v>
      </c>
      <c r="J91" s="20" t="str">
        <f>IMPRODUCT(IMDIV(IMPRODUCT(COMPLEX(-Ported!C$41,0),F91),IMSUM(IMPRODUCT(COMPLEX(Ported!C$41,0),E91),COMPLEX(Calculations!C$3-(2*PI()*B91)^2*Ported!C$38,0),IMPRODUCT(COMPLEX(Calculations!C$4,0),C91))),H91)</f>
        <v>-0.0000619046118319638-0.000213391358322864i</v>
      </c>
      <c r="K91" s="27">
        <f t="shared" si="12"/>
        <v>-106.17738918894673</v>
      </c>
      <c r="L91" s="40" t="str">
        <f>IMSUM(IMPRODUCT(COMPLEX(-(Ported!C$14/Ported!C$24),0),H91),IMDIV(IMPRODUCT(COMPLEX(-Ported!C$41,0),J91),IMSUM(COMPLEX(Ported!C$41,0),IMPRODUCT(COMPLEX(Ported!C$42,0),C91))),IMDIV(IMPRODUCT(COMPLEX(Ported!C$42*Ported!C$14/Ported!C$24,0),C91,H91),IMSUM(COMPLEX(Ported!C$41,0),IMPRODUCT(COMPLEX(Ported!C$42,0),C91))))</f>
        <v>0.0000641190224293909-0.0000186008619361844i</v>
      </c>
      <c r="M91" s="28">
        <f t="shared" si="13"/>
        <v>-16.17738918895455</v>
      </c>
      <c r="N91" s="39" t="str">
        <f>IMPRODUCT(COMPLEX((Ported!C$10*Ported!C$14)/(2*PI()),0),C91,C91,H91)</f>
        <v>0.0320988192277975+0.082787547286976i</v>
      </c>
      <c r="O91" s="28">
        <f t="shared" si="14"/>
        <v>68.807432326395784</v>
      </c>
      <c r="P91" s="26" t="str">
        <f>IMPRODUCT(COMPLEX((Ported!C$10*Ported!C$24)/(2*PI()),0),C91,C91,J91)</f>
        <v>0.00719739575122179+0.0248101395080132i</v>
      </c>
      <c r="Q91" s="23">
        <f t="shared" si="15"/>
        <v>73.822610811053252</v>
      </c>
      <c r="R91" s="41" t="str">
        <f>IMPRODUCT(COMPLEX((Ported!C$10*Ported!C$24)/(2*PI()),0),C91,C91,L91)</f>
        <v>-0.00745485620455029+0.00216264605667764i</v>
      </c>
      <c r="S91" s="33">
        <f t="shared" si="16"/>
        <v>163.82261081104548</v>
      </c>
      <c r="T91" s="38">
        <f>IMABS(IMDIV(D91,IMSUB(COMPLEX(1,0),IMPRODUCT(COMPLEX(Ported!C$18,0),IMPRODUCT(C91,H91)))))</f>
        <v>15.419250597580366</v>
      </c>
      <c r="U91" s="21">
        <f>20*LOG10(Ported!C$29*50000*IMABS(N91))</f>
        <v>102.77416191489908</v>
      </c>
      <c r="V91" s="22">
        <f>20*LOG10(Ported!C$29*50000*IMABS(P91))</f>
        <v>92.050141508746066</v>
      </c>
      <c r="W91" s="22">
        <f>20*LOG10(Ported!C$29*50000*IMABS(R91))</f>
        <v>81.606342798950323</v>
      </c>
      <c r="X91" s="28">
        <f>1000*Ported!C$29*IMABS(H91)</f>
        <v>4.079669665552184</v>
      </c>
      <c r="Y91" s="28">
        <f>1000*Ported!C$29*IMABS(J91)</f>
        <v>6.8878660494233106</v>
      </c>
      <c r="Z91" s="28">
        <f>Ported!C$29*IMABS(IMPRODUCT(C91,J91))</f>
        <v>2.730825315728088</v>
      </c>
      <c r="AA91" s="28">
        <f>1000*Ported!C$29*IMABS(L91)</f>
        <v>2.069639751040989</v>
      </c>
      <c r="AB91" s="41" t="str">
        <f t="shared" si="17"/>
        <v>0.031841358774469+0.109760332851667i</v>
      </c>
      <c r="AC91" s="28">
        <f>20*LOG10(Ported!C$29*50000*IMABS(AB91))</f>
        <v>104.96646568972494</v>
      </c>
      <c r="AD91" s="28">
        <f t="shared" si="18"/>
        <v>177142.71003386655</v>
      </c>
      <c r="AE91" s="23">
        <f t="shared" si="19"/>
        <v>73.822610811053281</v>
      </c>
      <c r="AG91" s="64"/>
    </row>
    <row r="92" spans="2:33" s="8" customFormat="1" x14ac:dyDescent="0.25">
      <c r="B92" s="24">
        <v>64.599999999999994</v>
      </c>
      <c r="C92" s="17" t="str">
        <f t="shared" si="10"/>
        <v>405.893770843801i</v>
      </c>
      <c r="D92" s="18" t="str">
        <f>COMPLEX(Ported!C$19,2*PI()*B92*Ported!C$20)</f>
        <v>6</v>
      </c>
      <c r="E92" s="19" t="str">
        <f>IMSUB(COMPLEX(1,0),IMDIV(COMPLEX(Ported!C$41,0),IMSUM(COMPLEX(Ported!C$41,0),IMPRODUCT(C92,COMPLEX(Ported!C$42,0)))))</f>
        <v>0.995617982320409+0.0660516131570376i</v>
      </c>
      <c r="F92" s="19" t="str">
        <f>IMDIV(IMPRODUCT(C92,COMPLEX((Ported!C$42*Ported!C$14/Ported!C$24),0)),IMSUM(COMPLEX(Ported!C$41,0),IMPRODUCT(C92,COMPLEX(Ported!C$42,0))))</f>
        <v>5.77767948289565+0.38330469811338i</v>
      </c>
      <c r="G92" s="30" t="str">
        <f>IMPRODUCT(F92,IMSUB(COMPLEX(1,0),IMDIV(IMPRODUCT(COMPLEX(Ported!C$41,0),E92),IMSUM(COMPLEX(0-(2*PI()*B92)^2*Ported!C$38,0),IMPRODUCT(C92,COMPLEX(0,0)),IMPRODUCT(COMPLEX(Ported!C$41,0),E92)))))</f>
        <v>7.34619467865225+0.62137092888952i</v>
      </c>
      <c r="H92" s="32" t="str">
        <f>IMDIV(COMPLEX(Ported!C$18,0),IMPRODUCT(D92,IMSUM(COMPLEX(Ported!C$16-(2*PI()*B92)^2*Ported!C$15,0),IMPRODUCT(C92,IMSUM(COMPLEX(Ported!C$17,0),IMDIV(COMPLEX(Ported!C$18^2,0),D92))),IMPRODUCT(COMPLEX(Ported!C$14*Ported!C$41/Ported!C$24,0),G92))))</f>
        <v>-0.0000494352401827679-0.000117245002727503i</v>
      </c>
      <c r="I92" s="27">
        <f t="shared" si="11"/>
        <v>-112.8622577942439</v>
      </c>
      <c r="J92" s="20" t="str">
        <f>IMPRODUCT(IMDIV(IMPRODUCT(COMPLEX(-Ported!C$41,0),F92),IMSUM(IMPRODUCT(COMPLEX(Ported!C$41,0),E92),COMPLEX(Calculations!C$3-(2*PI()*B92)^2*Ported!C$38,0),IMPRODUCT(COMPLEX(Calculations!C$4,0),C92))),H92)</f>
        <v>-0.0000626090147285252-0.000192377002708459i</v>
      </c>
      <c r="K92" s="27">
        <f t="shared" si="12"/>
        <v>-108.02745669243654</v>
      </c>
      <c r="L92" s="40" t="str">
        <f>IMSUM(IMPRODUCT(COMPLEX(-(Ported!C$14/Ported!C$24),0),H92),IMDIV(IMPRODUCT(COMPLEX(-Ported!C$41,0),J92),IMSUM(COMPLEX(Ported!C$41,0),IMPRODUCT(COMPLEX(Ported!C$42,0),C92))),IMDIV(IMPRODUCT(COMPLEX(Ported!C$42*Ported!C$14/Ported!C$24,0),C92,H92),IMSUM(COMPLEX(Ported!C$41,0),IMPRODUCT(COMPLEX(Ported!C$42,0),C92))))</f>
        <v>0.0000591788303569827-0.0000192597254831576i</v>
      </c>
      <c r="M92" s="28">
        <f t="shared" si="13"/>
        <v>-18.027456692438207</v>
      </c>
      <c r="N92" s="39" t="str">
        <f>IMPRODUCT(COMPLEX((Ported!C$10*Ported!C$14)/(2*PI()),0),C92,C92,H92)</f>
        <v>0.0349587630978152+0.0829113049638263i</v>
      </c>
      <c r="O92" s="28">
        <f t="shared" si="14"/>
        <v>67.137742205756069</v>
      </c>
      <c r="P92" s="26" t="str">
        <f>IMPRODUCT(COMPLEX((Ported!C$10*Ported!C$24)/(2*PI()),0),C92,C92,J92)</f>
        <v>0.00762949100499415+0.0234429277971565i</v>
      </c>
      <c r="Q92" s="23">
        <f t="shared" si="15"/>
        <v>71.972543307563456</v>
      </c>
      <c r="R92" s="41" t="str">
        <f>IMPRODUCT(COMPLEX((Ported!C$10*Ported!C$24)/(2*PI()),0),C92,C92,L92)</f>
        <v>-0.00721149112236333+0.00234697675677461i</v>
      </c>
      <c r="S92" s="33">
        <f t="shared" si="16"/>
        <v>161.97254330756175</v>
      </c>
      <c r="T92" s="38">
        <f>IMABS(IMDIV(D92,IMSUB(COMPLEX(1,0),IMPRODUCT(COMPLEX(Ported!C$18,0),IMPRODUCT(C92,H92)))))</f>
        <v>14.51609526413381</v>
      </c>
      <c r="U92" s="21">
        <f>20*LOG10(Ported!C$29*50000*IMABS(N92))</f>
        <v>102.88955331523624</v>
      </c>
      <c r="V92" s="22">
        <f>20*LOG10(Ported!C$29*50000*IMABS(P92))</f>
        <v>91.644097987863091</v>
      </c>
      <c r="W92" s="22">
        <f>20*LOG10(Ported!C$29*50000*IMABS(R92))</f>
        <v>81.404362453086407</v>
      </c>
      <c r="X92" s="28">
        <f>1000*Ported!C$29*IMABS(H92)</f>
        <v>3.9444663168388994</v>
      </c>
      <c r="Y92" s="28">
        <f>1000*Ported!C$29*IMABS(J92)</f>
        <v>6.2715689185728323</v>
      </c>
      <c r="Z92" s="28">
        <f>Ported!C$29*IMABS(IMPRODUCT(C92,J92))</f>
        <v>2.545590757466305</v>
      </c>
      <c r="AA92" s="28">
        <f>1000*Ported!C$29*IMABS(L92)</f>
        <v>1.9292540578086004</v>
      </c>
      <c r="AB92" s="41" t="str">
        <f t="shared" si="17"/>
        <v>0.035376762980446+0.108701209517757i</v>
      </c>
      <c r="AC92" s="28">
        <f>20*LOG10(Ported!C$29*50000*IMABS(AB92))</f>
        <v>104.96854851887994</v>
      </c>
      <c r="AD92" s="28">
        <f t="shared" si="18"/>
        <v>177185.19298691198</v>
      </c>
      <c r="AE92" s="23">
        <f t="shared" si="19"/>
        <v>71.972543307563399</v>
      </c>
      <c r="AG92" s="64"/>
    </row>
    <row r="93" spans="2:33" s="8" customFormat="1" x14ac:dyDescent="0.25">
      <c r="B93" s="24">
        <v>66.099999999999994</v>
      </c>
      <c r="C93" s="17" t="str">
        <f t="shared" si="10"/>
        <v>415.318548804571i</v>
      </c>
      <c r="D93" s="18" t="str">
        <f>COMPLEX(Ported!C$19,2*PI()*B93*Ported!C$20)</f>
        <v>6</v>
      </c>
      <c r="E93" s="19" t="str">
        <f>IMSUB(COMPLEX(1,0),IMDIV(COMPLEX(Ported!C$41,0),IMSUM(COMPLEX(Ported!C$41,0),IMPRODUCT(C93,COMPLEX(Ported!C$42,0)))))</f>
        <v>0.995813783897943+0.0645654063473923i</v>
      </c>
      <c r="F93" s="19" t="str">
        <f>IMDIV(IMPRODUCT(C93,COMPLEX((Ported!C$42*Ported!C$14/Ported!C$24),0)),IMSUM(COMPLEX(Ported!C$41,0),IMPRODUCT(C93,COMPLEX(Ported!C$42,0))))</f>
        <v>5.77881574075492+0.374680078285387i</v>
      </c>
      <c r="G93" s="30" t="str">
        <f>IMPRODUCT(F93,IMSUB(COMPLEX(1,0),IMDIV(IMPRODUCT(COMPLEX(Ported!C$41,0),E93),IMSUM(COMPLEX(0-(2*PI()*B93)^2*Ported!C$38,0),IMPRODUCT(C93,COMPLEX(0,0)),IMPRODUCT(COMPLEX(Ported!C$41,0),E93)))))</f>
        <v>7.26017064775657+0.592844661403002i</v>
      </c>
      <c r="H93" s="32" t="str">
        <f>IMDIV(COMPLEX(Ported!C$18,0),IMPRODUCT(D93,IMSUM(COMPLEX(Ported!C$16-(2*PI()*B93)^2*Ported!C$15,0),IMPRODUCT(C93,IMSUM(COMPLEX(Ported!C$17,0),IMDIV(COMPLEX(Ported!C$18^2,0),D93))),IMPRODUCT(COMPLEX(Ported!C$14*Ported!C$41/Ported!C$24,0),G93))))</f>
        <v>-0.0000509221133822466-0.00011199200396273i</v>
      </c>
      <c r="I93" s="27">
        <f t="shared" si="11"/>
        <v>-114.45101700474581</v>
      </c>
      <c r="J93" s="20" t="str">
        <f>IMPRODUCT(IMDIV(IMPRODUCT(COMPLEX(-Ported!C$41,0),F93),IMSUM(IMPRODUCT(COMPLEX(Ported!C$41,0),E93),COMPLEX(Calculations!C$3-(2*PI()*B93)^2*Ported!C$38,0),IMPRODUCT(COMPLEX(Calculations!C$4,0),C93))),H93)</f>
        <v>-0.000062477755499816-0.000173702561039113i</v>
      </c>
      <c r="K93" s="27">
        <f t="shared" si="12"/>
        <v>-109.78276578461336</v>
      </c>
      <c r="L93" s="40" t="str">
        <f>IMSUM(IMPRODUCT(COMPLEX(-(Ported!C$14/Ported!C$24),0),H93),IMDIV(IMPRODUCT(COMPLEX(-Ported!C$41,0),J93),IMSUM(COMPLEX(Ported!C$41,0),IMPRODUCT(COMPLEX(Ported!C$42,0),C93))),IMDIV(IMPRODUCT(COMPLEX(Ported!C$42*Ported!C$14/Ported!C$24,0),C93,H93),IMSUM(COMPLEX(Ported!C$41,0),IMPRODUCT(COMPLEX(Ported!C$42,0),C93))))</f>
        <v>0.0000546749489746918-0.0000196656173263722i</v>
      </c>
      <c r="M93" s="28">
        <f t="shared" si="13"/>
        <v>-19.782765784614941</v>
      </c>
      <c r="N93" s="39" t="str">
        <f>IMPRODUCT(COMPLEX((Ported!C$10*Ported!C$14)/(2*PI()),0),C93,C93,H93)</f>
        <v>0.0377019412325452+0.0829171389691355i</v>
      </c>
      <c r="O93" s="28">
        <f t="shared" si="14"/>
        <v>65.548982995254178</v>
      </c>
      <c r="P93" s="26" t="str">
        <f>IMPRODUCT(COMPLEX((Ported!C$10*Ported!C$24)/(2*PI()),0),C93,C93,J93)</f>
        <v>0.00797116865591386+0.0221616861702245i</v>
      </c>
      <c r="Q93" s="23">
        <f t="shared" si="15"/>
        <v>70.217234215386611</v>
      </c>
      <c r="R93" s="41" t="str">
        <f>IMPRODUCT(COMPLEX((Ported!C$10*Ported!C$24)/(2*PI()),0),C93,C93,L93)</f>
        <v>-0.00697565455167537+0.00250902022931403i</v>
      </c>
      <c r="S93" s="33">
        <f t="shared" si="16"/>
        <v>160.21723421538508</v>
      </c>
      <c r="T93" s="38">
        <f>IMABS(IMDIV(D93,IMSUB(COMPLEX(1,0),IMPRODUCT(COMPLEX(Ported!C$18,0),IMPRODUCT(C93,H93)))))</f>
        <v>13.74884111743583</v>
      </c>
      <c r="U93" s="21">
        <f>20*LOG10(Ported!C$29*50000*IMABS(N93))</f>
        <v>102.99568171033242</v>
      </c>
      <c r="V93" s="22">
        <f>20*LOG10(Ported!C$29*50000*IMABS(P93))</f>
        <v>91.247057964630528</v>
      </c>
      <c r="W93" s="22">
        <f>20*LOG10(Ported!C$29*50000*IMABS(R93))</f>
        <v>81.206701259664953</v>
      </c>
      <c r="X93" s="28">
        <f>1000*Ported!C$29*IMABS(H93)</f>
        <v>3.8137901135444396</v>
      </c>
      <c r="Y93" s="28">
        <f>1000*Ported!C$29*IMABS(J93)</f>
        <v>5.7225067678187811</v>
      </c>
      <c r="Z93" s="28">
        <f>Ported!C$29*IMABS(IMPRODUCT(C93,J93))</f>
        <v>2.3766632063348316</v>
      </c>
      <c r="AA93" s="28">
        <f>1000*Ported!C$29*IMABS(L93)</f>
        <v>1.8012271302515341</v>
      </c>
      <c r="AB93" s="41" t="str">
        <f t="shared" si="17"/>
        <v>0.0386974553367837+0.107587845368674i</v>
      </c>
      <c r="AC93" s="28">
        <f>20*LOG10(Ported!C$29*50000*IMABS(AB93))</f>
        <v>104.97026615526963</v>
      </c>
      <c r="AD93" s="28">
        <f t="shared" si="18"/>
        <v>177220.23485843869</v>
      </c>
      <c r="AE93" s="23">
        <f t="shared" si="19"/>
        <v>70.217234215386654</v>
      </c>
      <c r="AG93" s="64"/>
    </row>
    <row r="94" spans="2:33" s="8" customFormat="1" x14ac:dyDescent="0.25">
      <c r="B94" s="24">
        <v>67.599999999999994</v>
      </c>
      <c r="C94" s="17" t="str">
        <f t="shared" si="10"/>
        <v>424.74332676534i</v>
      </c>
      <c r="D94" s="18" t="str">
        <f>COMPLEX(Ported!C$19,2*PI()*B94*Ported!C$20)</f>
        <v>6</v>
      </c>
      <c r="E94" s="19" t="str">
        <f>IMSUB(COMPLEX(1,0),IMDIV(COMPLEX(Ported!C$41,0),IMSUM(COMPLEX(Ported!C$41,0),IMPRODUCT(C94,COMPLEX(Ported!C$42,0)))))</f>
        <v>0.995996766098694+0.0631443427366038i</v>
      </c>
      <c r="F94" s="19" t="str">
        <f>IMDIV(IMPRODUCT(C94,COMPLEX((Ported!C$42*Ported!C$14/Ported!C$24),0)),IMSUM(COMPLEX(Ported!C$41,0),IMPRODUCT(C94,COMPLEX(Ported!C$42,0))))</f>
        <v>5.77987760637585+0.366433491528479i</v>
      </c>
      <c r="G94" s="30" t="str">
        <f>IMPRODUCT(F94,IMSUB(COMPLEX(1,0),IMDIV(IMPRODUCT(COMPLEX(Ported!C$41,0),E94),IMSUM(COMPLEX(0-(2*PI()*B94)^2*Ported!C$38,0),IMPRODUCT(C94,COMPLEX(0,0)),IMPRODUCT(COMPLEX(Ported!C$41,0),E94)))))</f>
        <v>7.18154835304876+0.566957280973725i</v>
      </c>
      <c r="H94" s="32" t="str">
        <f>IMDIV(COMPLEX(Ported!C$18,0),IMPRODUCT(D94,IMSUM(COMPLEX(Ported!C$16-(2*PI()*B94)^2*Ported!C$15,0),IMPRODUCT(C94,IMSUM(COMPLEX(Ported!C$17,0),IMDIV(COMPLEX(Ported!C$18^2,0),D94))),IMPRODUCT(COMPLEX(Ported!C$14*Ported!C$41/Ported!C$24,0),G94))))</f>
        <v>-0.0000520824333672886-0.000106952084032145i</v>
      </c>
      <c r="I94" s="27">
        <f t="shared" si="11"/>
        <v>-115.96468280464934</v>
      </c>
      <c r="J94" s="20" t="str">
        <f>IMPRODUCT(IMDIV(IMPRODUCT(COMPLEX(-Ported!C$41,0),F94),IMSUM(IMPRODUCT(COMPLEX(Ported!C$41,0),E94),COMPLEX(Calculations!C$3-(2*PI()*B94)^2*Ported!C$38,0),IMPRODUCT(COMPLEX(Calculations!C$4,0),C94))),H94)</f>
        <v>-0.0000617222186138564-0.00015708682074554i</v>
      </c>
      <c r="K94" s="27">
        <f t="shared" si="12"/>
        <v>-111.45075034512026</v>
      </c>
      <c r="L94" s="40" t="str">
        <f>IMSUM(IMPRODUCT(COMPLEX(-(Ported!C$14/Ported!C$24),0),H94),IMDIV(IMPRODUCT(COMPLEX(-Ported!C$41,0),J94),IMSUM(COMPLEX(Ported!C$41,0),IMPRODUCT(COMPLEX(Ported!C$42,0),C94))),IMDIV(IMPRODUCT(COMPLEX(Ported!C$42*Ported!C$14/Ported!C$24,0),C94,H94),IMSUM(COMPLEX(Ported!C$41,0),IMPRODUCT(COMPLEX(Ported!C$42,0),C94))))</f>
        <v>0.0000505669956304686-0.0000198686760871289i</v>
      </c>
      <c r="M94" s="28">
        <f t="shared" si="13"/>
        <v>-21.450750345122209</v>
      </c>
      <c r="N94" s="39" t="str">
        <f>IMPRODUCT(COMPLEX((Ported!C$10*Ported!C$14)/(2*PI()),0),C94,C94,H94)</f>
        <v>0.0403310039010593+0.0828203415133831i</v>
      </c>
      <c r="O94" s="28">
        <f t="shared" si="14"/>
        <v>64.035317195350629</v>
      </c>
      <c r="P94" s="26" t="str">
        <f>IMPRODUCT(COMPLEX((Ported!C$10*Ported!C$24)/(2*PI()),0),C94,C94,J94)</f>
        <v>0.00823623216806427+0.0209617145212746i</v>
      </c>
      <c r="Q94" s="23">
        <f t="shared" si="15"/>
        <v>68.549249654879688</v>
      </c>
      <c r="R94" s="41" t="str">
        <f>IMPRODUCT(COMPLEX((Ported!C$10*Ported!C$24)/(2*PI()),0),C94,C94,L94)</f>
        <v>-0.00674767572208644+0.00265128235505331i</v>
      </c>
      <c r="S94" s="33">
        <f t="shared" si="16"/>
        <v>158.54924965487777</v>
      </c>
      <c r="T94" s="38">
        <f>IMABS(IMDIV(D94,IMSUB(COMPLEX(1,0),IMPRODUCT(COMPLEX(Ported!C$18,0),IMPRODUCT(C94,H94)))))</f>
        <v>13.090871803887724</v>
      </c>
      <c r="U94" s="21">
        <f>20*LOG10(Ported!C$29*50000*IMABS(N94))</f>
        <v>103.09356128938526</v>
      </c>
      <c r="V94" s="22">
        <f>20*LOG10(Ported!C$29*50000*IMABS(P94))</f>
        <v>90.85867468583821</v>
      </c>
      <c r="W94" s="22">
        <f>20*LOG10(Ported!C$29*50000*IMABS(R94))</f>
        <v>81.013222709992604</v>
      </c>
      <c r="X94" s="28">
        <f>1000*Ported!C$29*IMABS(H94)</f>
        <v>3.6877400052946054</v>
      </c>
      <c r="Y94" s="28">
        <f>1000*Ported!C$29*IMABS(J94)</f>
        <v>5.2321077361975581</v>
      </c>
      <c r="Z94" s="28">
        <f>Ported!C$29*IMABS(IMPRODUCT(C94,J94))</f>
        <v>2.2223028458672234</v>
      </c>
      <c r="AA94" s="28">
        <f>1000*Ported!C$29*IMABS(L94)</f>
        <v>1.6842403950807445</v>
      </c>
      <c r="AB94" s="41" t="str">
        <f t="shared" si="17"/>
        <v>0.0418195603470371+0.106433338389711i</v>
      </c>
      <c r="AC94" s="28">
        <f>20*LOG10(Ported!C$29*50000*IMABS(AB94))</f>
        <v>104.97169233471716</v>
      </c>
      <c r="AD94" s="28">
        <f t="shared" si="18"/>
        <v>177249.33591984698</v>
      </c>
      <c r="AE94" s="23">
        <f t="shared" si="19"/>
        <v>68.549249654879702</v>
      </c>
      <c r="AG94" s="64"/>
    </row>
    <row r="95" spans="2:33" s="8" customFormat="1" x14ac:dyDescent="0.25">
      <c r="B95" s="24">
        <v>69.2</v>
      </c>
      <c r="C95" s="17" t="str">
        <f t="shared" si="10"/>
        <v>434.796423256827i</v>
      </c>
      <c r="D95" s="18" t="str">
        <f>COMPLEX(Ported!C$19,2*PI()*B95*Ported!C$20)</f>
        <v>6</v>
      </c>
      <c r="E95" s="19" t="str">
        <f>IMSUB(COMPLEX(1,0),IMDIV(COMPLEX(Ported!C$41,0),IMSUM(COMPLEX(Ported!C$41,0),IMPRODUCT(C95,COMPLEX(Ported!C$42,0)))))</f>
        <v>0.996179047458608+0.0616956470350088i</v>
      </c>
      <c r="F95" s="19" t="str">
        <f>IMDIV(IMPRODUCT(C95,COMPLEX((Ported!C$42*Ported!C$14/Ported!C$24),0)),IMSUM(COMPLEX(Ported!C$41,0),IMPRODUCT(C95,COMPLEX(Ported!C$42,0))))</f>
        <v>5.78093540494113+0.358026552742019i</v>
      </c>
      <c r="G95" s="30" t="str">
        <f>IMPRODUCT(F95,IMSUB(COMPLEX(1,0),IMDIV(IMPRODUCT(COMPLEX(Ported!C$41,0),E95),IMSUM(COMPLEX(0-(2*PI()*B95)^2*Ported!C$38,0),IMPRODUCT(C95,COMPLEX(0,0)),IMPRODUCT(COMPLEX(Ported!C$41,0),E95)))))</f>
        <v>7.10487431209795+0.541861093996703i</v>
      </c>
      <c r="H95" s="32" t="str">
        <f>IMDIV(COMPLEX(Ported!C$18,0),IMPRODUCT(D95,IMSUM(COMPLEX(Ported!C$16-(2*PI()*B95)^2*Ported!C$15,0),IMPRODUCT(C95,IMSUM(COMPLEX(Ported!C$17,0),IMDIV(COMPLEX(Ported!C$18^2,0),D95))),IMPRODUCT(COMPLEX(Ported!C$14*Ported!C$41/Ported!C$24,0),G95))))</f>
        <v>-0.0000530072977582471-0.000101815478169366i</v>
      </c>
      <c r="I95" s="27">
        <f t="shared" si="11"/>
        <v>-117.50244157484356</v>
      </c>
      <c r="J95" s="20" t="str">
        <f>IMPRODUCT(IMDIV(IMPRODUCT(COMPLEX(-Ported!C$41,0),F95),IMSUM(IMPRODUCT(COMPLEX(Ported!C$41,0),E95),COMPLEX(Calculations!C$3-(2*PI()*B95)^2*Ported!C$38,0),IMPRODUCT(COMPLEX(Calculations!C$4,0),C95))),H95)</f>
        <v>-0.0000604130416211457-0.000141354933967751i</v>
      </c>
      <c r="K95" s="27">
        <f t="shared" si="12"/>
        <v>-113.14115836150546</v>
      </c>
      <c r="L95" s="40" t="str">
        <f>IMSUM(IMPRODUCT(COMPLEX(-(Ported!C$14/Ported!C$24),0),H95),IMDIV(IMPRODUCT(COMPLEX(-Ported!C$41,0),J95),IMSUM(COMPLEX(Ported!C$41,0),IMPRODUCT(COMPLEX(Ported!C$42,0),C95))),IMDIV(IMPRODUCT(COMPLEX(Ported!C$42*Ported!C$14/Ported!C$24,0),C95,H95),IMSUM(COMPLEX(Ported!C$41,0),IMPRODUCT(COMPLEX(Ported!C$42,0),C95))))</f>
        <v>0.0000465798163360399-0.0000199075356199202i</v>
      </c>
      <c r="M95" s="28">
        <f t="shared" si="13"/>
        <v>-23.141158361505248</v>
      </c>
      <c r="N95" s="39" t="str">
        <f>IMPRODUCT(COMPLEX((Ported!C$10*Ported!C$14)/(2*PI()),0),C95,C95,H95)</f>
        <v>0.0430132469590407+0.0826190825030386i</v>
      </c>
      <c r="O95" s="28">
        <f t="shared" si="14"/>
        <v>62.497558425156406</v>
      </c>
      <c r="P95" s="26" t="str">
        <f>IMPRODUCT(COMPLEX((Ported!C$10*Ported!C$24)/(2*PI()),0),C95,C95,J95)</f>
        <v>0.00844766242132702+0.0197659103350057i</v>
      </c>
      <c r="Q95" s="23">
        <f t="shared" si="15"/>
        <v>66.858841638494553</v>
      </c>
      <c r="R95" s="41" t="str">
        <f>IMPRODUCT(COMPLEX((Ported!C$10*Ported!C$24)/(2*PI()),0),C95,C95,L95)</f>
        <v>-0.00651333807229712+0.00278370590264678i</v>
      </c>
      <c r="S95" s="33">
        <f t="shared" si="16"/>
        <v>156.85884163849477</v>
      </c>
      <c r="T95" s="38">
        <f>IMABS(IMDIV(D95,IMSUB(COMPLEX(1,0),IMPRODUCT(COMPLEX(Ported!C$18,0),IMPRODUCT(C95,H95)))))</f>
        <v>12.48647584530694</v>
      </c>
      <c r="U95" s="21">
        <f>20*LOG10(Ported!C$29*50000*IMABS(N95))</f>
        <v>103.18985553030573</v>
      </c>
      <c r="V95" s="22">
        <f>20*LOG10(Ported!C$29*50000*IMABS(P95))</f>
        <v>90.453563296571801</v>
      </c>
      <c r="W95" s="22">
        <f>20*LOG10(Ported!C$29*50000*IMABS(R95))</f>
        <v>80.811299291028561</v>
      </c>
      <c r="X95" s="28">
        <f>1000*Ported!C$29*IMABS(H95)</f>
        <v>3.5584118321632019</v>
      </c>
      <c r="Y95" s="28">
        <f>1000*Ported!C$29*IMABS(J95)</f>
        <v>4.7654323822401103</v>
      </c>
      <c r="Z95" s="28">
        <f>Ported!C$29*IMABS(IMPRODUCT(C95,J95))</f>
        <v>2.0719929550702605</v>
      </c>
      <c r="AA95" s="28">
        <f>1000*Ported!C$29*IMABS(L95)</f>
        <v>1.5703234326238829</v>
      </c>
      <c r="AB95" s="41" t="str">
        <f t="shared" si="17"/>
        <v>0.0449475713080706+0.105168698740691i</v>
      </c>
      <c r="AC95" s="28">
        <f>20*LOG10(Ported!C$29*50000*IMABS(AB95))</f>
        <v>104.97295688605563</v>
      </c>
      <c r="AD95" s="28">
        <f t="shared" si="18"/>
        <v>177275.14297140934</v>
      </c>
      <c r="AE95" s="23">
        <f t="shared" si="19"/>
        <v>66.858841638494525</v>
      </c>
      <c r="AG95" s="64"/>
    </row>
    <row r="96" spans="2:33" s="8" customFormat="1" x14ac:dyDescent="0.25">
      <c r="B96" s="24">
        <v>70.8</v>
      </c>
      <c r="C96" s="17" t="str">
        <f t="shared" si="10"/>
        <v>444.849519748315i</v>
      </c>
      <c r="D96" s="18" t="str">
        <f>COMPLEX(Ported!C$19,2*PI()*B96*Ported!C$20)</f>
        <v>6</v>
      </c>
      <c r="E96" s="19" t="str">
        <f>IMSUB(COMPLEX(1,0),IMDIV(COMPLEX(Ported!C$41,0),IMSUM(COMPLEX(Ported!C$41,0),IMPRODUCT(C96,COMPLEX(Ported!C$42,0)))))</f>
        <v>0.99634917111581+0.0603116931668168i</v>
      </c>
      <c r="F96" s="19" t="str">
        <f>IMDIV(IMPRODUCT(C96,COMPLEX((Ported!C$42*Ported!C$14/Ported!C$24),0)),IMSUM(COMPLEX(Ported!C$41,0),IMPRODUCT(C96,COMPLEX(Ported!C$42,0))))</f>
        <v>5.78192265103474+0.349995317859247i</v>
      </c>
      <c r="G96" s="30" t="str">
        <f>IMPRODUCT(F96,IMSUB(COMPLEX(1,0),IMDIV(IMPRODUCT(COMPLEX(Ported!C$41,0),E96),IMSUM(COMPLEX(0-(2*PI()*B96)^2*Ported!C$38,0),IMPRODUCT(C96,COMPLEX(0,0)),IMPRODUCT(COMPLEX(Ported!C$41,0),E96)))))</f>
        <v>7.03475374169325+0.519020696728571i</v>
      </c>
      <c r="H96" s="32" t="str">
        <f>IMDIV(COMPLEX(Ported!C$18,0),IMPRODUCT(D96,IMSUM(COMPLEX(Ported!C$16-(2*PI()*B96)^2*Ported!C$15,0),IMPRODUCT(C96,IMSUM(COMPLEX(Ported!C$17,0),IMDIV(COMPLEX(Ported!C$18^2,0),D96))),IMPRODUCT(COMPLEX(Ported!C$14*Ported!C$41/Ported!C$24,0),G96))))</f>
        <v>-0.0000536531075793482-0.0000969260322804533i</v>
      </c>
      <c r="I96" s="27">
        <f t="shared" si="11"/>
        <v>-118.96658620437228</v>
      </c>
      <c r="J96" s="20" t="str">
        <f>IMPRODUCT(IMDIV(IMPRODUCT(COMPLEX(-Ported!C$41,0),F96),IMSUM(IMPRODUCT(COMPLEX(Ported!C$41,0),E96),COMPLEX(Calculations!C$3-(2*PI()*B96)^2*Ported!C$38,0),IMPRODUCT(COMPLEX(Calculations!C$4,0),C96))),H96)</f>
        <v>-0.0000587348790742521-0.000127423484905539i</v>
      </c>
      <c r="K96" s="27">
        <f t="shared" si="12"/>
        <v>-114.74697684474035</v>
      </c>
      <c r="L96" s="40" t="str">
        <f>IMSUM(IMPRODUCT(COMPLEX(-(Ported!C$14/Ported!C$24),0),H96),IMDIV(IMPRODUCT(COMPLEX(-Ported!C$41,0),J96),IMSUM(COMPLEX(Ported!C$41,0),IMPRODUCT(COMPLEX(Ported!C$42,0),C96))),IMDIV(IMPRODUCT(COMPLEX(Ported!C$42*Ported!C$14/Ported!C$24,0),C96,H96),IMSUM(COMPLEX(Ported!C$41,0),IMPRODUCT(COMPLEX(Ported!C$42,0),C96))))</f>
        <v>0.0000429599177681521-0.0000198020449450361i</v>
      </c>
      <c r="M96" s="28">
        <f t="shared" si="13"/>
        <v>-24.746976844743674</v>
      </c>
      <c r="N96" s="39" t="str">
        <f>IMPRODUCT(COMPLEX((Ported!C$10*Ported!C$14)/(2*PI()),0),C96,C96,H96)</f>
        <v>0.0455738554265205+0.0823306082631439i</v>
      </c>
      <c r="O96" s="28">
        <f t="shared" si="14"/>
        <v>61.033413795627681</v>
      </c>
      <c r="P96" s="26" t="str">
        <f>IMPRODUCT(COMPLEX((Ported!C$10*Ported!C$24)/(2*PI()),0),C96,C96,J96)</f>
        <v>0.00859718464364584+0.0186513234544135i</v>
      </c>
      <c r="Q96" s="23">
        <f t="shared" si="15"/>
        <v>65.253023155259669</v>
      </c>
      <c r="R96" s="41" t="str">
        <f>IMPRODUCT(COMPLEX((Ported!C$10*Ported!C$24)/(2*PI()),0),C96,C96,L96)</f>
        <v>-0.00628816047891639+0.00289847939414382i</v>
      </c>
      <c r="S96" s="33">
        <f t="shared" si="16"/>
        <v>155.25302315525636</v>
      </c>
      <c r="T96" s="38">
        <f>IMABS(IMDIV(D96,IMSUB(COMPLEX(1,0),IMPRODUCT(COMPLEX(Ported!C$18,0),IMPRODUCT(C96,H96)))))</f>
        <v>11.963950988408586</v>
      </c>
      <c r="U96" s="21">
        <f>20*LOG10(Ported!C$29*50000*IMABS(N96))</f>
        <v>103.27866937799595</v>
      </c>
      <c r="V96" s="22">
        <f>20*LOG10(Ported!C$29*50000*IMABS(P96))</f>
        <v>90.057529315785928</v>
      </c>
      <c r="W96" s="22">
        <f>20*LOG10(Ported!C$29*50000*IMABS(R96))</f>
        <v>80.613808574902933</v>
      </c>
      <c r="X96" s="28">
        <f>1000*Ported!C$29*IMABS(H96)</f>
        <v>3.434334365022869</v>
      </c>
      <c r="Y96" s="28">
        <f>1000*Ported!C$29*IMABS(J96)</f>
        <v>4.3495696148988028</v>
      </c>
      <c r="Z96" s="28">
        <f>Ported!C$29*IMABS(IMPRODUCT(C96,J96))</f>
        <v>1.9349039542995963</v>
      </c>
      <c r="AA96" s="28">
        <f>1000*Ported!C$29*IMABS(L96)</f>
        <v>1.4664263273087423</v>
      </c>
      <c r="AB96" s="41" t="str">
        <f t="shared" si="17"/>
        <v>0.04788287959125+0.103880411111701i</v>
      </c>
      <c r="AC96" s="28">
        <f>20*LOG10(Ported!C$29*50000*IMABS(AB96))</f>
        <v>104.97400943459016</v>
      </c>
      <c r="AD96" s="28">
        <f t="shared" si="18"/>
        <v>177296.62632033799</v>
      </c>
      <c r="AE96" s="23">
        <f t="shared" si="19"/>
        <v>65.253023155259541</v>
      </c>
      <c r="AG96" s="64"/>
    </row>
    <row r="97" spans="2:34" x14ac:dyDescent="0.25">
      <c r="B97" s="24">
        <v>72.400000000000006</v>
      </c>
      <c r="C97" s="17" t="str">
        <f t="shared" si="10"/>
        <v>454.902616239802i</v>
      </c>
      <c r="D97" s="18" t="str">
        <f>COMPLEX(Ported!C$19,2*PI()*B97*Ported!C$20)</f>
        <v>6</v>
      </c>
      <c r="E97" s="19" t="str">
        <f>IMSUB(COMPLEX(1,0),IMDIV(COMPLEX(Ported!C$41,0),IMSUM(COMPLEX(Ported!C$41,0),IMPRODUCT(C97,COMPLEX(Ported!C$42,0)))))</f>
        <v>0.996508193485189+0.0589882513902047i</v>
      </c>
      <c r="F97" s="19" t="str">
        <f>IMDIV(IMPRODUCT(C97,COMPLEX((Ported!C$42*Ported!C$14/Ported!C$24),0)),IMSUM(COMPLEX(Ported!C$41,0),IMPRODUCT(C97,COMPLEX(Ported!C$42,0))))</f>
        <v>5.78284547514722+0.342315241228131i</v>
      </c>
      <c r="G97" s="30" t="str">
        <f>IMPRODUCT(F97,IMSUB(COMPLEX(1,0),IMDIV(IMPRODUCT(COMPLEX(Ported!C$41,0),E97),IMSUM(COMPLEX(0-(2*PI()*B97)^2*Ported!C$38,0),IMPRODUCT(C97,COMPLEX(0,0)),IMPRODUCT(COMPLEX(Ported!C$41,0),E97)))))</f>
        <v>6.97043052191407+0.498144764650984i</v>
      </c>
      <c r="H97" s="32" t="str">
        <f>IMDIV(COMPLEX(Ported!C$18,0),IMPRODUCT(D97,IMSUM(COMPLEX(Ported!C$16-(2*PI()*B97)^2*Ported!C$15,0),IMPRODUCT(C97,IMSUM(COMPLEX(Ported!C$17,0),IMDIV(COMPLEX(Ported!C$18^2,0),D97))),IMPRODUCT(COMPLEX(Ported!C$14*Ported!C$41/Ported!C$24,0),G97))))</f>
        <v>-0.0000540591598051406-0.0000922804058531606i</v>
      </c>
      <c r="I97" s="27">
        <f t="shared" si="11"/>
        <v>-120.36237197761542</v>
      </c>
      <c r="J97" s="20" t="str">
        <f>IMPRODUCT(IMDIV(IMPRODUCT(COMPLEX(-Ported!C$41,0),F97),IMSUM(IMPRODUCT(COMPLEX(Ported!C$41,0),E97),COMPLEX(Calculations!C$3-(2*PI()*B97)^2*Ported!C$38,0),IMPRODUCT(COMPLEX(Calculations!C$4,0),C97))),H97)</f>
        <v>-0.0000568057207493757-0.000115065760445856i</v>
      </c>
      <c r="K97" s="27">
        <f t="shared" si="12"/>
        <v>-116.27465449051051</v>
      </c>
      <c r="L97" s="40" t="str">
        <f>IMSUM(IMPRODUCT(COMPLEX(-(Ported!C$14/Ported!C$24),0),H97),IMDIV(IMPRODUCT(COMPLEX(-Ported!C$41,0),J97),IMSUM(COMPLEX(Ported!C$41,0),IMPRODUCT(COMPLEX(Ported!C$42,0),C97))),IMDIV(IMPRODUCT(COMPLEX(Ported!C$42*Ported!C$14/Ported!C$24,0),C97,H97),IMSUM(COMPLEX(Ported!C$41,0),IMPRODUCT(COMPLEX(Ported!C$42,0),C97))))</f>
        <v>0.0000396702907441894-0.0000195844484869274i</v>
      </c>
      <c r="M97" s="28">
        <f t="shared" si="13"/>
        <v>-26.274654490510798</v>
      </c>
      <c r="N97" s="39" t="str">
        <f>IMPRODUCT(COMPLEX((Ported!C$10*Ported!C$14)/(2*PI()),0),C97,C97,H97)</f>
        <v>0.0480176384832171+0.0819673702535099i</v>
      </c>
      <c r="O97" s="28">
        <f t="shared" si="14"/>
        <v>59.637628022384597</v>
      </c>
      <c r="P97" s="26" t="str">
        <f>IMPRODUCT(COMPLEX((Ported!C$10*Ported!C$24)/(2*PI()),0),C97,C97,J97)</f>
        <v>0.00869486547077968+0.017612333655333i</v>
      </c>
      <c r="Q97" s="23">
        <f t="shared" si="15"/>
        <v>63.725345509489451</v>
      </c>
      <c r="R97" s="41" t="str">
        <f>IMPRODUCT(COMPLEX((Ported!C$10*Ported!C$24)/(2*PI()),0),C97,C97,L97)</f>
        <v>-0.00607206169831467+0.00299765838135448i</v>
      </c>
      <c r="S97" s="33">
        <f t="shared" si="16"/>
        <v>153.72534550948924</v>
      </c>
      <c r="T97" s="38">
        <f>IMABS(IMDIV(D97,IMSUB(COMPLEX(1,0),IMPRODUCT(COMPLEX(Ported!C$18,0),IMPRODUCT(C97,H97)))))</f>
        <v>11.508482934855421</v>
      </c>
      <c r="U97" s="21">
        <f>20*LOG10(Ported!C$29*50000*IMABS(N97))</f>
        <v>103.36079008945958</v>
      </c>
      <c r="V97" s="22">
        <f>20*LOG10(Ported!C$29*50000*IMABS(P97))</f>
        <v>89.67019971241325</v>
      </c>
      <c r="W97" s="22">
        <f>20*LOG10(Ported!C$29*50000*IMABS(R97))</f>
        <v>80.42058514167762</v>
      </c>
      <c r="X97" s="28">
        <f>1000*Ported!C$29*IMABS(H97)</f>
        <v>3.3154157336289756</v>
      </c>
      <c r="Y97" s="28">
        <f>1000*Ported!C$29*IMABS(J97)</f>
        <v>3.9780403957856492</v>
      </c>
      <c r="Z97" s="28">
        <f>Ported!C$29*IMABS(IMPRODUCT(C97,J97))</f>
        <v>1.8096209835505086</v>
      </c>
      <c r="AA97" s="28">
        <f>1000*Ported!C$29*IMABS(L97)</f>
        <v>1.3714767840708324</v>
      </c>
      <c r="AB97" s="41" t="str">
        <f t="shared" si="17"/>
        <v>0.0506404422556821+0.102577362290197i</v>
      </c>
      <c r="AC97" s="28">
        <f>20*LOG10(Ported!C$29*50000*IMABS(AB97))</f>
        <v>104.97489217151254</v>
      </c>
      <c r="AD97" s="28">
        <f t="shared" si="18"/>
        <v>177314.64568713066</v>
      </c>
      <c r="AE97" s="23">
        <f t="shared" si="19"/>
        <v>63.725345509489308</v>
      </c>
      <c r="AF97" s="8"/>
      <c r="AG97" s="64"/>
      <c r="AH97" s="8"/>
    </row>
    <row r="98" spans="2:34" x14ac:dyDescent="0.25">
      <c r="B98" s="24">
        <v>74.099999999999994</v>
      </c>
      <c r="C98" s="17" t="str">
        <f t="shared" si="10"/>
        <v>465.584031262007i</v>
      </c>
      <c r="D98" s="18" t="str">
        <f>COMPLEX(Ported!C$19,2*PI()*B98*Ported!C$20)</f>
        <v>6</v>
      </c>
      <c r="E98" s="19" t="str">
        <f>IMSUB(COMPLEX(1,0),IMDIV(COMPLEX(Ported!C$41,0),IMSUM(COMPLEX(Ported!C$41,0),IMPRODUCT(C98,COMPLEX(Ported!C$42,0)))))</f>
        <v>0.9966660454398+0.0576440743458532i</v>
      </c>
      <c r="F98" s="19" t="str">
        <f>IMDIV(IMPRODUCT(C98,COMPLEX((Ported!C$42*Ported!C$14/Ported!C$24),0)),IMSUM(COMPLEX(Ported!C$41,0),IMPRODUCT(C98,COMPLEX(Ported!C$42,0))))</f>
        <v>5.78376150721542+0.334514835582154i</v>
      </c>
      <c r="G98" s="30" t="str">
        <f>IMPRODUCT(F98,IMSUB(COMPLEX(1,0),IMDIV(IMPRODUCT(COMPLEX(Ported!C$41,0),E98),IMSUM(COMPLEX(0-(2*PI()*B98)^2*Ported!C$38,0),IMPRODUCT(C98,COMPLEX(0,0)),IMPRODUCT(COMPLEX(Ported!C$41,0),E98)))))</f>
        <v>6.90771739397173+0.477844581015402i</v>
      </c>
      <c r="H98" s="32" t="str">
        <f>IMDIV(COMPLEX(Ported!C$18,0),IMPRODUCT(D98,IMSUM(COMPLEX(Ported!C$16-(2*PI()*B98)^2*Ported!C$15,0),IMPRODUCT(C98,IMSUM(COMPLEX(Ported!C$17,0),IMDIV(COMPLEX(Ported!C$18^2,0),D98))),IMPRODUCT(COMPLEX(Ported!C$14*Ported!C$41/Ported!C$24,0),G98))))</f>
        <v>-0.00005426620186617-0.0000876049798829365i</v>
      </c>
      <c r="I98" s="27">
        <f t="shared" si="11"/>
        <v>-121.77581227717556</v>
      </c>
      <c r="J98" s="20" t="str">
        <f>IMPRODUCT(IMDIV(IMPRODUCT(COMPLEX(-Ported!C$41,0),F98),IMSUM(IMPRODUCT(COMPLEX(Ported!C$41,0),E98),COMPLEX(Calculations!C$3-(2*PI()*B98)^2*Ported!C$38,0),IMPRODUCT(COMPLEX(Calculations!C$4,0),C98))),H98)</f>
        <v>-0.0000545811309198154-0.000103440681510916i</v>
      </c>
      <c r="K98" s="27">
        <f t="shared" si="12"/>
        <v>-117.81865389270068</v>
      </c>
      <c r="L98" s="40" t="str">
        <f>IMSUM(IMPRODUCT(COMPLEX(-(Ported!C$14/Ported!C$24),0),H98),IMDIV(IMPRODUCT(COMPLEX(-Ported!C$41,0),J98),IMSUM(COMPLEX(Ported!C$41,0),IMPRODUCT(COMPLEX(Ported!C$42,0),C98))),IMDIV(IMPRODUCT(COMPLEX(Ported!C$42*Ported!C$14/Ported!C$24,0),C98,H98),IMSUM(COMPLEX(Ported!C$41,0),IMPRODUCT(COMPLEX(Ported!C$42,0),C98))))</f>
        <v>0.000036499783333137-0.000019259341910278i</v>
      </c>
      <c r="M98" s="28">
        <f t="shared" si="13"/>
        <v>-27.818653892701334</v>
      </c>
      <c r="N98" s="39" t="str">
        <f>IMPRODUCT(COMPLEX((Ported!C$10*Ported!C$14)/(2*PI()),0),C98,C98,H98)</f>
        <v>0.0504917258620087+0.0815116311125793i</v>
      </c>
      <c r="O98" s="28">
        <f t="shared" si="14"/>
        <v>58.224187722824404</v>
      </c>
      <c r="P98" s="26" t="str">
        <f>IMPRODUCT(COMPLEX((Ported!C$10*Ported!C$24)/(2*PI()),0),C98,C98,J98)</f>
        <v>0.00875130068367451+0.016585228110354i</v>
      </c>
      <c r="Q98" s="23">
        <f t="shared" si="15"/>
        <v>62.181346107299284</v>
      </c>
      <c r="R98" s="41" t="str">
        <f>IMPRODUCT(COMPLEX((Ported!C$10*Ported!C$24)/(2*PI()),0),C98,C98,L98)</f>
        <v>-0.00585221620465342+0.00308795895552519i</v>
      </c>
      <c r="S98" s="33">
        <f t="shared" si="16"/>
        <v>152.18134610729871</v>
      </c>
      <c r="T98" s="38">
        <f>IMABS(IMDIV(D98,IMSUB(COMPLEX(1,0),IMPRODUCT(COMPLEX(Ported!C$18,0),IMPRODUCT(C98,H98)))))</f>
        <v>11.085133089506952</v>
      </c>
      <c r="U98" s="21">
        <f>20*LOG10(Ported!C$29*50000*IMABS(N98))</f>
        <v>103.44147129385904</v>
      </c>
      <c r="V98" s="22">
        <f>20*LOG10(Ported!C$29*50000*IMABS(P98))</f>
        <v>89.267802612256787</v>
      </c>
      <c r="W98" s="22">
        <f>20*LOG10(Ported!C$29*50000*IMABS(R98))</f>
        <v>80.219780877164908</v>
      </c>
      <c r="X98" s="28">
        <f>1000*Ported!C$29*IMABS(H98)</f>
        <v>3.1945726618476069</v>
      </c>
      <c r="Y98" s="28">
        <f>1000*Ported!C$29*IMABS(J98)</f>
        <v>3.6256848374638917</v>
      </c>
      <c r="Z98" s="28">
        <f>Ported!C$29*IMABS(IMPRODUCT(C98,J98))</f>
        <v>1.6880609627119718</v>
      </c>
      <c r="AA98" s="28">
        <f>1000*Ported!C$29*IMABS(L98)</f>
        <v>1.2793487926479634</v>
      </c>
      <c r="AB98" s="41" t="str">
        <f t="shared" si="17"/>
        <v>0.0533908103410298+0.101184818178458i</v>
      </c>
      <c r="AC98" s="28">
        <f>20*LOG10(Ported!C$29*50000*IMABS(AB98))</f>
        <v>104.97568074264336</v>
      </c>
      <c r="AD98" s="28">
        <f t="shared" si="18"/>
        <v>177330.74439018584</v>
      </c>
      <c r="AE98" s="23">
        <f t="shared" si="19"/>
        <v>62.18134610729912</v>
      </c>
      <c r="AF98" s="8"/>
      <c r="AG98" s="64"/>
      <c r="AH98" s="8"/>
    </row>
    <row r="99" spans="2:34" x14ac:dyDescent="0.25">
      <c r="B99" s="24">
        <v>75.900000000000006</v>
      </c>
      <c r="C99" s="17" t="str">
        <f t="shared" si="10"/>
        <v>476.893764814931i</v>
      </c>
      <c r="D99" s="18" t="str">
        <f>COMPLEX(Ported!C$19,2*PI()*B99*Ported!C$20)</f>
        <v>6</v>
      </c>
      <c r="E99" s="19" t="str">
        <f>IMSUB(COMPLEX(1,0),IMDIV(COMPLEX(Ported!C$41,0),IMSUM(COMPLEX(Ported!C$41,0),IMPRODUCT(C99,COMPLEX(Ported!C$42,0)))))</f>
        <v>0.996821805970619+0.0562858162603399i</v>
      </c>
      <c r="F99" s="19" t="str">
        <f>IMDIV(IMPRODUCT(C99,COMPLEX((Ported!C$42*Ported!C$14/Ported!C$24),0)),IMSUM(COMPLEX(Ported!C$41,0),IMPRODUCT(C99,COMPLEX(Ported!C$42,0))))</f>
        <v>5.78466540252378+0.326632716122179i</v>
      </c>
      <c r="G99" s="30" t="str">
        <f>IMPRODUCT(F99,IMSUB(COMPLEX(1,0),IMDIV(IMPRODUCT(COMPLEX(Ported!C$41,0),E99),IMSUM(COMPLEX(0-(2*PI()*B99)^2*Ported!C$38,0),IMPRODUCT(C99,COMPLEX(0,0)),IMPRODUCT(COMPLEX(Ported!C$41,0),E99)))))</f>
        <v>6.84691699561874+0.458196120723673i</v>
      </c>
      <c r="H99" s="32" t="str">
        <f>IMDIV(COMPLEX(Ported!C$18,0),IMPRODUCT(D99,IMSUM(COMPLEX(Ported!C$16-(2*PI()*B99)^2*Ported!C$15,0),IMPRODUCT(C99,IMSUM(COMPLEX(Ported!C$17,0),IMDIV(COMPLEX(Ported!C$18^2,0),D99))),IMPRODUCT(COMPLEX(Ported!C$14*Ported!C$41/Ported!C$24,0),G99))))</f>
        <v>-0.0000542722310522825-0.0000829370477884043i</v>
      </c>
      <c r="I99" s="27">
        <f t="shared" si="11"/>
        <v>-123.19987798309226</v>
      </c>
      <c r="J99" s="20" t="str">
        <f>IMPRODUCT(IMDIV(IMPRODUCT(COMPLEX(-Ported!C$41,0),F99),IMSUM(IMPRODUCT(COMPLEX(Ported!C$41,0),E99),COMPLEX(Calculations!C$3-(2*PI()*B99)^2*Ported!C$38,0),IMPRODUCT(COMPLEX(Calculations!C$4,0),C99))),H99)</f>
        <v>-0.0000521170503555901-0.0000926011041884797i</v>
      </c>
      <c r="K99" s="27">
        <f t="shared" si="12"/>
        <v>-119.3713490595881</v>
      </c>
      <c r="L99" s="40" t="str">
        <f>IMSUM(IMPRODUCT(COMPLEX(-(Ported!C$14/Ported!C$24),0),H99),IMDIV(IMPRODUCT(COMPLEX(-Ported!C$41,0),J99),IMSUM(COMPLEX(Ported!C$41,0),IMPRODUCT(COMPLEX(Ported!C$42,0),C99))),IMDIV(IMPRODUCT(COMPLEX(Ported!C$42*Ported!C$14/Ported!C$24,0),C99,H99),IMSUM(COMPLEX(Ported!C$41,0),IMPRODUCT(COMPLEX(Ported!C$42,0),C99))))</f>
        <v>0.0000334686847995505-0.0000188365910570917i</v>
      </c>
      <c r="M99" s="28">
        <f t="shared" si="13"/>
        <v>-29.37134905958791</v>
      </c>
      <c r="N99" s="39" t="str">
        <f>IMPRODUCT(COMPLEX((Ported!C$10*Ported!C$14)/(2*PI()),0),C99,C99,H99)</f>
        <v>0.0529804448544828+0.0809629823862264i</v>
      </c>
      <c r="O99" s="28">
        <f t="shared" si="14"/>
        <v>56.800122016907707</v>
      </c>
      <c r="P99" s="26" t="str">
        <f>IMPRODUCT(COMPLEX((Ported!C$10*Ported!C$24)/(2*PI()),0),C99,C99,J99)</f>
        <v>0.00876712179489766+0.015577342793256i</v>
      </c>
      <c r="Q99" s="23">
        <f t="shared" si="15"/>
        <v>60.628650940411966</v>
      </c>
      <c r="R99" s="41" t="str">
        <f>IMPRODUCT(COMPLEX((Ported!C$10*Ported!C$24)/(2*PI()),0),C99,C99,L99)</f>
        <v>-0.00563009675241965+0.00316868830587013i</v>
      </c>
      <c r="S99" s="33">
        <f t="shared" si="16"/>
        <v>150.62865094041209</v>
      </c>
      <c r="T99" s="38">
        <f>IMABS(IMDIV(D99,IMSUB(COMPLEX(1,0),IMPRODUCT(COMPLEX(Ported!C$18,0),IMPRODUCT(C99,H99)))))</f>
        <v>10.69314260264955</v>
      </c>
      <c r="U99" s="21">
        <f>20*LOG10(Ported!C$29*50000*IMABS(N99))</f>
        <v>103.52028881161857</v>
      </c>
      <c r="V99" s="22">
        <f>20*LOG10(Ported!C$29*50000*IMABS(P99))</f>
        <v>88.851560519399456</v>
      </c>
      <c r="W99" s="22">
        <f>20*LOG10(Ported!C$29*50000*IMABS(R99))</f>
        <v>80.012010142630629</v>
      </c>
      <c r="X99" s="28">
        <f>1000*Ported!C$29*IMABS(H99)</f>
        <v>3.0726034286639901</v>
      </c>
      <c r="Y99" s="28">
        <f>1000*Ported!C$29*IMABS(J99)</f>
        <v>3.2940547246121716</v>
      </c>
      <c r="Z99" s="28">
        <f>Ported!C$29*IMABS(IMPRODUCT(C99,J99))</f>
        <v>1.5709141591267104</v>
      </c>
      <c r="AA99" s="28">
        <f>1000*Ported!C$29*IMABS(L99)</f>
        <v>1.1905654933241105</v>
      </c>
      <c r="AB99" s="41" t="str">
        <f t="shared" si="17"/>
        <v>0.0561174698969608+0.0997090134853525i</v>
      </c>
      <c r="AC99" s="28">
        <f>20*LOG10(Ported!C$29*50000*IMABS(AB99))</f>
        <v>104.97638136643219</v>
      </c>
      <c r="AD99" s="28">
        <f t="shared" si="18"/>
        <v>177345.04887183959</v>
      </c>
      <c r="AE99" s="23">
        <f t="shared" si="19"/>
        <v>60.628650940411852</v>
      </c>
      <c r="AG99" s="64"/>
    </row>
    <row r="100" spans="2:34" x14ac:dyDescent="0.25">
      <c r="B100" s="24">
        <v>77.599999999999994</v>
      </c>
      <c r="C100" s="17" t="str">
        <f t="shared" si="10"/>
        <v>487.575179837136i</v>
      </c>
      <c r="D100" s="18" t="str">
        <f>COMPLEX(Ported!C$19,2*PI()*B100*Ported!C$20)</f>
        <v>6</v>
      </c>
      <c r="E100" s="19" t="str">
        <f>IMSUB(COMPLEX(1,0),IMDIV(COMPLEX(Ported!C$41,0),IMSUM(COMPLEX(Ported!C$41,0),IMPRODUCT(C100,COMPLEX(Ported!C$42,0)))))</f>
        <v>0.996959112633927+0.0550603339083539i</v>
      </c>
      <c r="F100" s="19" t="str">
        <f>IMDIV(IMPRODUCT(C100,COMPLEX((Ported!C$42*Ported!C$14/Ported!C$24),0)),IMSUM(COMPLEX(Ported!C$41,0),IMPRODUCT(C100,COMPLEX(Ported!C$42,0))))</f>
        <v>5.78546220803105+0.319521108690964i</v>
      </c>
      <c r="G100" s="30" t="str">
        <f>IMPRODUCT(F100,IMSUB(COMPLEX(1,0),IMDIV(IMPRODUCT(COMPLEX(Ported!C$41,0),E100),IMSUM(COMPLEX(0-(2*PI()*B100)^2*Ported!C$38,0),IMPRODUCT(C100,COMPLEX(0,0)),IMPRODUCT(COMPLEX(Ported!C$41,0),E100)))))</f>
        <v>6.79418966072523+0.441167364627125i</v>
      </c>
      <c r="H100" s="32" t="str">
        <f>IMDIV(COMPLEX(Ported!C$18,0),IMPRODUCT(D100,IMSUM(COMPLEX(Ported!C$16-(2*PI()*B100)^2*Ported!C$15,0),IMPRODUCT(C100,IMSUM(COMPLEX(Ported!C$17,0),IMDIV(COMPLEX(Ported!C$18^2,0),D100))),IMPRODUCT(COMPLEX(Ported!C$14*Ported!C$41/Ported!C$24,0),G100))))</f>
        <v>-0.0000541088142715484-0.0000787840627062505i</v>
      </c>
      <c r="I100" s="27">
        <f t="shared" si="11"/>
        <v>-124.48124006398103</v>
      </c>
      <c r="J100" s="20" t="str">
        <f>IMPRODUCT(IMDIV(IMPRODUCT(COMPLEX(-Ported!C$41,0),F100),IMSUM(IMPRODUCT(COMPLEX(Ported!C$41,0),E100),COMPLEX(Calculations!C$3-(2*PI()*B100)^2*Ported!C$38,0),IMPRODUCT(COMPLEX(Calculations!C$4,0),C100))),H100)</f>
        <v>-0.0000497498622069312-0.0000835686604144989i</v>
      </c>
      <c r="K100" s="27">
        <f t="shared" si="12"/>
        <v>-120.76606669638544</v>
      </c>
      <c r="L100" s="40" t="str">
        <f>IMSUM(IMPRODUCT(COMPLEX(-(Ported!C$14/Ported!C$24),0),H100),IMDIV(IMPRODUCT(COMPLEX(-Ported!C$41,0),J100),IMSUM(COMPLEX(Ported!C$41,0),IMPRODUCT(COMPLEX(Ported!C$42,0),C100))),IMDIV(IMPRODUCT(COMPLEX(Ported!C$42*Ported!C$14/Ported!C$24,0),C100,H100),IMSUM(COMPLEX(Ported!C$41,0),IMPRODUCT(COMPLEX(Ported!C$42,0),C100))))</f>
        <v>0.0000308806097531671-0.0000183837586059902i</v>
      </c>
      <c r="M100" s="28">
        <f t="shared" si="13"/>
        <v>-30.766066696386041</v>
      </c>
      <c r="N100" s="39" t="str">
        <f>IMPRODUCT(COMPLEX((Ported!C$10*Ported!C$14)/(2*PI()),0),C100,C100,H100)</f>
        <v>0.0552135705678811+0.0803926211360951i</v>
      </c>
      <c r="O100" s="28">
        <f t="shared" si="14"/>
        <v>55.518759936018924</v>
      </c>
      <c r="P100" s="26" t="str">
        <f>IMPRODUCT(COMPLEX((Ported!C$10*Ported!C$24)/(2*PI()),0),C100,C100,J100)</f>
        <v>0.00874800423633467+0.0146946938725189i</v>
      </c>
      <c r="Q100" s="23">
        <f t="shared" si="15"/>
        <v>59.233933303614641</v>
      </c>
      <c r="R100" s="41" t="str">
        <f>IMPRODUCT(COMPLEX((Ported!C$10*Ported!C$24)/(2*PI()),0),C100,C100,L100)</f>
        <v>-0.00543003925955933+0.00323259585114088i</v>
      </c>
      <c r="S100" s="33">
        <f t="shared" si="16"/>
        <v>149.23393330361395</v>
      </c>
      <c r="T100" s="38">
        <f>IMABS(IMDIV(D100,IMSUB(COMPLEX(1,0),IMPRODUCT(COMPLEX(Ported!C$18,0),IMPRODUCT(C100,H100)))))</f>
        <v>10.367133839138113</v>
      </c>
      <c r="U100" s="21">
        <f>20*LOG10(Ported!C$29*50000*IMABS(N100))</f>
        <v>103.5891295230077</v>
      </c>
      <c r="V100" s="22">
        <f>20*LOG10(Ported!C$29*50000*IMABS(P100))</f>
        <v>88.467322570423221</v>
      </c>
      <c r="W100" s="22">
        <f>20*LOG10(Ported!C$29*50000*IMABS(R100))</f>
        <v>79.820171100908624</v>
      </c>
      <c r="X100" s="28">
        <f>1000*Ported!C$29*IMABS(H100)</f>
        <v>2.9628431139631224</v>
      </c>
      <c r="Y100" s="28">
        <f>1000*Ported!C$29*IMABS(J100)</f>
        <v>3.0149424158932554</v>
      </c>
      <c r="Z100" s="28">
        <f>Ported!C$29*IMABS(IMPRODUCT(C100,J100))</f>
        <v>1.4700110906277617</v>
      </c>
      <c r="AA100" s="28">
        <f>1000*Ported!C$29*IMABS(L100)</f>
        <v>1.1140930070157966</v>
      </c>
      <c r="AB100" s="41" t="str">
        <f t="shared" si="17"/>
        <v>0.0585315355446564+0.0983199108597549i</v>
      </c>
      <c r="AC100" s="28">
        <f>20*LOG10(Ported!C$29*50000*IMABS(AB100))</f>
        <v>104.97694123196428</v>
      </c>
      <c r="AD100" s="28">
        <f t="shared" si="18"/>
        <v>177356.4803525857</v>
      </c>
      <c r="AE100" s="23">
        <f t="shared" si="19"/>
        <v>59.233933303614599</v>
      </c>
      <c r="AG100" s="64"/>
    </row>
    <row r="101" spans="2:34" x14ac:dyDescent="0.25">
      <c r="B101" s="24">
        <v>79.400000000000006</v>
      </c>
      <c r="C101" s="17" t="str">
        <f t="shared" si="10"/>
        <v>498.884913390059i</v>
      </c>
      <c r="D101" s="18" t="str">
        <f>COMPLEX(Ported!C$19,2*PI()*B101*Ported!C$20)</f>
        <v>6</v>
      </c>
      <c r="E101" s="19" t="str">
        <f>IMSUB(COMPLEX(1,0),IMDIV(COMPLEX(Ported!C$41,0),IMSUM(COMPLEX(Ported!C$41,0),IMPRODUCT(C101,COMPLEX(Ported!C$42,0)))))</f>
        <v>0.997095027836734+0.0538194509447682i</v>
      </c>
      <c r="F101" s="19" t="str">
        <f>IMDIV(IMPRODUCT(C101,COMPLEX((Ported!C$42*Ported!C$14/Ported!C$24),0)),IMSUM(COMPLEX(Ported!C$41,0),IMPRODUCT(C101,COMPLEX(Ported!C$42,0))))</f>
        <v>5.7862509387417+0.312320129834926i</v>
      </c>
      <c r="G101" s="30" t="str">
        <f>IMPRODUCT(F101,IMSUB(COMPLEX(1,0),IMDIV(IMPRODUCT(COMPLEX(Ported!C$41,0),E101),IMSUM(COMPLEX(0-(2*PI()*B101)^2*Ported!C$38,0),IMPRODUCT(C101,COMPLEX(0,0)),IMPRODUCT(COMPLEX(Ported!C$41,0),E101)))))</f>
        <v>6.74278092804213+0.424559434303214i</v>
      </c>
      <c r="H101" s="32" t="str">
        <f>IMDIV(COMPLEX(Ported!C$18,0),IMPRODUCT(D101,IMSUM(COMPLEX(Ported!C$16-(2*PI()*B101)^2*Ported!C$15,0),IMPRODUCT(C101,IMSUM(COMPLEX(Ported!C$17,0),IMDIV(COMPLEX(Ported!C$18^2,0),D101))),IMPRODUCT(COMPLEX(Ported!C$14*Ported!C$41/Ported!C$24,0),G101))))</f>
        <v>-0.0000537865727950632-0.0000746443646160789i</v>
      </c>
      <c r="I101" s="27">
        <f t="shared" si="11"/>
        <v>-125.7754319267777</v>
      </c>
      <c r="J101" s="20" t="str">
        <f>IMPRODUCT(IMDIV(IMPRODUCT(COMPLEX(-Ported!C$41,0),F101),IMSUM(IMPRODUCT(COMPLEX(Ported!C$41,0),E101),COMPLEX(Calculations!C$3-(2*PI()*B101)^2*Ported!C$38,0),IMPRODUCT(COMPLEX(Calculations!C$4,0),C101))),H101)</f>
        <v>-0.0000472501724537905-0.0000751117600413507i</v>
      </c>
      <c r="K101" s="27">
        <f t="shared" si="12"/>
        <v>-122.17255747843292</v>
      </c>
      <c r="L101" s="40" t="str">
        <f>IMSUM(IMPRODUCT(COMPLEX(-(Ported!C$14/Ported!C$24),0),H101),IMDIV(IMPRODUCT(COMPLEX(-Ported!C$41,0),J101),IMSUM(COMPLEX(Ported!C$41,0),IMPRODUCT(COMPLEX(Ported!C$42,0),C101))),IMDIV(IMPRODUCT(COMPLEX(Ported!C$42*Ported!C$14/Ported!C$24,0),C101,H101),IMSUM(COMPLEX(Ported!C$41,0),IMPRODUCT(COMPLEX(Ported!C$42,0),C101))))</f>
        <v>0.0000283993987965864-0.0000178650652039585i</v>
      </c>
      <c r="M101" s="28">
        <f t="shared" si="13"/>
        <v>-32.17255747843555</v>
      </c>
      <c r="N101" s="39" t="str">
        <f>IMPRODUCT(COMPLEX((Ported!C$10*Ported!C$14)/(2*PI()),0),C101,C101,H101)</f>
        <v>0.0574604801875372+0.079742969504225i</v>
      </c>
      <c r="O101" s="28">
        <f t="shared" si="14"/>
        <v>54.224568073222279</v>
      </c>
      <c r="P101" s="26" t="str">
        <f>IMPRODUCT(COMPLEX((Ported!C$10*Ported!C$24)/(2*PI()),0),C101,C101,J101)</f>
        <v>0.00869837371662356+0.0138274661323613i</v>
      </c>
      <c r="Q101" s="23">
        <f t="shared" si="15"/>
        <v>57.827442521567029</v>
      </c>
      <c r="R101" s="41" t="str">
        <f>IMPRODUCT(COMPLEX((Ported!C$10*Ported!C$24)/(2*PI()),0),C101,C101,L101)</f>
        <v>-0.00522809909956891+0.00328881368142842i</v>
      </c>
      <c r="S101" s="33">
        <f t="shared" si="16"/>
        <v>147.82744252156448</v>
      </c>
      <c r="T101" s="38">
        <f>IMABS(IMDIV(D101,IMSUB(COMPLEX(1,0),IMPRODUCT(COMPLEX(Ported!C$18,0),IMPRODUCT(C101,H101)))))</f>
        <v>10.061123743398722</v>
      </c>
      <c r="U101" s="21">
        <f>20*LOG10(Ported!C$29*50000*IMABS(N101))</f>
        <v>103.65669653170981</v>
      </c>
      <c r="V101" s="22">
        <f>20*LOG10(Ported!C$29*50000*IMABS(P101))</f>
        <v>88.069477323541619</v>
      </c>
      <c r="W101" s="22">
        <f>20*LOG10(Ported!C$29*50000*IMABS(R101))</f>
        <v>79.621501477405275</v>
      </c>
      <c r="X101" s="28">
        <f>1000*Ported!C$29*IMABS(H101)</f>
        <v>2.8521308341798894</v>
      </c>
      <c r="Y101" s="28">
        <f>1000*Ported!C$29*IMABS(J101)</f>
        <v>2.7508644890250262</v>
      </c>
      <c r="Z101" s="28">
        <f>Ported!C$29*IMABS(IMPRODUCT(C101,J101))</f>
        <v>1.3723647923550375</v>
      </c>
      <c r="AA101" s="28">
        <f>1000*Ported!C$29*IMABS(L101)</f>
        <v>1.0400887639456651</v>
      </c>
      <c r="AB101" s="41" t="str">
        <f t="shared" si="17"/>
        <v>0.0609307548045919+0.0968592493180147i</v>
      </c>
      <c r="AC101" s="28">
        <f>20*LOG10(Ported!C$29*50000*IMABS(AB101))</f>
        <v>104.97744723183897</v>
      </c>
      <c r="AD101" s="28">
        <f t="shared" si="18"/>
        <v>177366.81262419056</v>
      </c>
      <c r="AE101" s="23">
        <f t="shared" si="19"/>
        <v>57.827442521567107</v>
      </c>
      <c r="AG101" s="64"/>
    </row>
    <row r="102" spans="2:34" x14ac:dyDescent="0.25">
      <c r="B102" s="24">
        <v>81.3</v>
      </c>
      <c r="C102" s="17" t="str">
        <f t="shared" si="10"/>
        <v>510.8229654737i</v>
      </c>
      <c r="D102" s="18" t="str">
        <f>COMPLEX(Ported!C$19,2*PI()*B102*Ported!C$20)</f>
        <v>6</v>
      </c>
      <c r="E102" s="19" t="str">
        <f>IMSUB(COMPLEX(1,0),IMDIV(COMPLEX(Ported!C$41,0),IMSUM(COMPLEX(Ported!C$41,0),IMPRODUCT(C102,COMPLEX(Ported!C$42,0)))))</f>
        <v>0.997228849121642+0.0525687321624483i</v>
      </c>
      <c r="F102" s="19" t="str">
        <f>IMDIV(IMPRODUCT(C102,COMPLEX((Ported!C$42*Ported!C$14/Ported!C$24),0)),IMSUM(COMPLEX(Ported!C$41,0),IMPRODUCT(C102,COMPLEX(Ported!C$42,0))))</f>
        <v>5.78702751821886+0.30506207265255i</v>
      </c>
      <c r="G102" s="30" t="str">
        <f>IMPRODUCT(F102,IMSUB(COMPLEX(1,0),IMDIV(IMPRODUCT(COMPLEX(Ported!C$41,0),E102),IMSUM(COMPLEX(0-(2*PI()*B102)^2*Ported!C$38,0),IMPRODUCT(C102,COMPLEX(0,0)),IMPRODUCT(COMPLEX(Ported!C$41,0),E102)))))</f>
        <v>6.69291012991575+0.408428673932624i</v>
      </c>
      <c r="H102" s="32" t="str">
        <f>IMDIV(COMPLEX(Ported!C$18,0),IMPRODUCT(D102,IMSUM(COMPLEX(Ported!C$16-(2*PI()*B102)^2*Ported!C$15,0),IMPRODUCT(C102,IMSUM(COMPLEX(Ported!C$17,0),IMDIV(COMPLEX(Ported!C$18^2,0),D102))),IMPRODUCT(COMPLEX(Ported!C$14*Ported!C$41/Ported!C$24,0),G102))))</f>
        <v>-0.0000533088800691774-0.0000705467074947887i</v>
      </c>
      <c r="I102" s="27">
        <f t="shared" si="11"/>
        <v>-127.07665262966849</v>
      </c>
      <c r="J102" s="20" t="str">
        <f>IMPRODUCT(IMDIV(IMPRODUCT(COMPLEX(-Ported!C$41,0),F102),IMSUM(IMPRODUCT(COMPLEX(Ported!C$41,0),E102),COMPLEX(Calculations!C$3-(2*PI()*B102)^2*Ported!C$38,0),IMPRODUCT(COMPLEX(Calculations!C$4,0),C102))),H102)</f>
        <v>-0.0000446587390200368-0.0000672561169400692i</v>
      </c>
      <c r="K102" s="27">
        <f t="shared" si="12"/>
        <v>-123.58456095789036</v>
      </c>
      <c r="L102" s="40" t="str">
        <f>IMSUM(IMPRODUCT(COMPLEX(-(Ported!C$14/Ported!C$24),0),H102),IMDIV(IMPRODUCT(COMPLEX(-Ported!C$41,0),J102),IMSUM(COMPLEX(Ported!C$41,0),IMPRODUCT(COMPLEX(Ported!C$42,0),C102))),IMDIV(IMPRODUCT(COMPLEX(Ported!C$42*Ported!C$14/Ported!C$24,0),C102,H102),IMSUM(COMPLEX(Ported!C$41,0),IMPRODUCT(COMPLEX(Ported!C$42,0),C102))))</f>
        <v>0.0000260377252725125-0.0000172893118206136i</v>
      </c>
      <c r="M102" s="28">
        <f t="shared" si="13"/>
        <v>-33.584560957889394</v>
      </c>
      <c r="N102" s="39" t="str">
        <f>IMPRODUCT(COMPLEX((Ported!C$10*Ported!C$14)/(2*PI()),0),C102,C102,H102)</f>
        <v>0.0597083436354172+0.0790154857498417i</v>
      </c>
      <c r="O102" s="28">
        <f t="shared" si="14"/>
        <v>52.92334737033152</v>
      </c>
      <c r="P102" s="26" t="str">
        <f>IMPRODUCT(COMPLEX((Ported!C$10*Ported!C$24)/(2*PI()),0),C102,C102,J102)</f>
        <v>0.0086194827995254+0.0129809518998666i</v>
      </c>
      <c r="Q102" s="23">
        <f t="shared" si="15"/>
        <v>56.415439042109533</v>
      </c>
      <c r="R102" s="41" t="str">
        <f>IMPRODUCT(COMPLEX((Ported!C$10*Ported!C$24)/(2*PI()),0),C102,C102,L102)</f>
        <v>-0.00502548280694837+0.00333697119810185i</v>
      </c>
      <c r="S102" s="33">
        <f t="shared" si="16"/>
        <v>146.41543904211059</v>
      </c>
      <c r="T102" s="38">
        <f>IMABS(IMDIV(D102,IMSUB(COMPLEX(1,0),IMPRODUCT(COMPLEX(Ported!C$18,0),IMPRODUCT(C102,H102)))))</f>
        <v>9.7749277311645848</v>
      </c>
      <c r="U102" s="21">
        <f>20*LOG10(Ported!C$29*50000*IMABS(N102))</f>
        <v>103.72267466659879</v>
      </c>
      <c r="V102" s="22">
        <f>20*LOG10(Ported!C$29*50000*IMABS(P102))</f>
        <v>87.659131447278966</v>
      </c>
      <c r="W102" s="22">
        <f>20*LOG10(Ported!C$29*50000*IMABS(R102))</f>
        <v>79.416556464481857</v>
      </c>
      <c r="X102" s="28">
        <f>1000*Ported!C$29*IMABS(H102)</f>
        <v>2.7411213621279873</v>
      </c>
      <c r="Y102" s="28">
        <f>1000*Ported!C$29*IMABS(J102)</f>
        <v>2.5027174222201145</v>
      </c>
      <c r="Z102" s="28">
        <f>Ported!C$29*IMABS(IMPRODUCT(C102,J102))</f>
        <v>1.2784455353611723</v>
      </c>
      <c r="AA102" s="28">
        <f>1000*Ported!C$29*IMABS(L102)</f>
        <v>0.96890917345949035</v>
      </c>
      <c r="AB102" s="41" t="str">
        <f t="shared" si="17"/>
        <v>0.0633023436279942+0.0953334088478101i</v>
      </c>
      <c r="AC102" s="28">
        <f>20*LOG10(Ported!C$29*50000*IMABS(AB102))</f>
        <v>104.97790308225517</v>
      </c>
      <c r="AD102" s="28">
        <f t="shared" si="18"/>
        <v>177376.12138361609</v>
      </c>
      <c r="AE102" s="23">
        <f t="shared" si="19"/>
        <v>56.415439042109604</v>
      </c>
      <c r="AG102" s="64"/>
    </row>
    <row r="103" spans="2:34" x14ac:dyDescent="0.25">
      <c r="B103" s="24">
        <v>83.2</v>
      </c>
      <c r="C103" s="17" t="str">
        <f t="shared" si="10"/>
        <v>522.761017557342i</v>
      </c>
      <c r="D103" s="18" t="str">
        <f>COMPLEX(Ported!C$19,2*PI()*B103*Ported!C$20)</f>
        <v>6</v>
      </c>
      <c r="E103" s="19" t="str">
        <f>IMSUB(COMPLEX(1,0),IMDIV(COMPLEX(Ported!C$41,0),IMSUM(COMPLEX(Ported!C$41,0),IMPRODUCT(C103,COMPLEX(Ported!C$42,0)))))</f>
        <v>0.997353639815559+0.0513746723806093i</v>
      </c>
      <c r="F103" s="19" t="str">
        <f>IMDIV(IMPRODUCT(C103,COMPLEX((Ported!C$42*Ported!C$14/Ported!C$24),0)),IMSUM(COMPLEX(Ported!C$41,0),IMPRODUCT(C103,COMPLEX(Ported!C$42,0))))</f>
        <v>5.78775169219392+0.298132813814935i</v>
      </c>
      <c r="G103" s="30" t="str">
        <f>IMPRODUCT(F103,IMSUB(COMPLEX(1,0),IMDIV(IMPRODUCT(COMPLEX(Ported!C$41,0),E103),IMSUM(COMPLEX(0-(2*PI()*B103)^2*Ported!C$38,0),IMPRODUCT(C103,COMPLEX(0,0)),IMPRODUCT(COMPLEX(Ported!C$41,0),E103)))))</f>
        <v>6.64705780712839+0.393566330482452i</v>
      </c>
      <c r="H103" s="32" t="str">
        <f>IMDIV(COMPLEX(Ported!C$18,0),IMPRODUCT(D103,IMSUM(COMPLEX(Ported!C$16-(2*PI()*B103)^2*Ported!C$15,0),IMPRODUCT(C103,IMSUM(COMPLEX(Ported!C$17,0),IMDIV(COMPLEX(Ported!C$18^2,0),D103))),IMPRODUCT(COMPLEX(Ported!C$14*Ported!C$41/Ported!C$24,0),G103))))</f>
        <v>-0.0000527161484949348-0.0000667119203216634i</v>
      </c>
      <c r="I103" s="27">
        <f t="shared" si="11"/>
        <v>-128.31599627678219</v>
      </c>
      <c r="J103" s="20" t="str">
        <f>IMPRODUCT(IMDIV(IMPRODUCT(COMPLEX(-Ported!C$41,0),F103),IMSUM(IMPRODUCT(COMPLEX(Ported!C$41,0),E103),COMPLEX(Calculations!C$3-(2*PI()*B103)^2*Ported!C$38,0),IMPRODUCT(COMPLEX(Calculations!C$4,0),C103))),H103)</f>
        <v>-0.0000421448185357781-0.0000603513837617105i</v>
      </c>
      <c r="K103" s="27">
        <f t="shared" si="12"/>
        <v>-124.92752055000258</v>
      </c>
      <c r="L103" s="40" t="str">
        <f>IMSUM(IMPRODUCT(COMPLEX(-(Ported!C$14/Ported!C$24),0),H103),IMDIV(IMPRODUCT(COMPLEX(-Ported!C$41,0),J103),IMSUM(COMPLEX(Ported!C$41,0),IMPRODUCT(COMPLEX(Ported!C$42,0),C103))),IMDIV(IMPRODUCT(COMPLEX(Ported!C$42*Ported!C$14/Ported!C$24,0),C103,H103),IMSUM(COMPLEX(Ported!C$41,0),IMPRODUCT(COMPLEX(Ported!C$42,0),C103))))</f>
        <v>0.0000239106434713059-0.0000166973757246519i</v>
      </c>
      <c r="M103" s="28">
        <f t="shared" si="13"/>
        <v>-34.927520550004232</v>
      </c>
      <c r="N103" s="39" t="str">
        <f>IMPRODUCT(COMPLEX((Ported!C$10*Ported!C$14)/(2*PI()),0),C103,C103,H103)</f>
        <v>0.0618364713390441+0.0782536256293364i</v>
      </c>
      <c r="O103" s="28">
        <f t="shared" si="14"/>
        <v>51.68400372321782</v>
      </c>
      <c r="P103" s="26" t="str">
        <f>IMPRODUCT(COMPLEX((Ported!C$10*Ported!C$24)/(2*PI()),0),C103,C103,J103)</f>
        <v>0.00851891923285548+0.0121990930728677i</v>
      </c>
      <c r="Q103" s="23">
        <f t="shared" si="15"/>
        <v>55.072479449997388</v>
      </c>
      <c r="R103" s="41" t="str">
        <f>IMPRODUCT(COMPLEX((Ported!C$10*Ported!C$24)/(2*PI()),0),C103,C103,L103)</f>
        <v>-0.00483316449363133+0.00337511466749337i</v>
      </c>
      <c r="S103" s="33">
        <f t="shared" si="16"/>
        <v>145.0724794499958</v>
      </c>
      <c r="T103" s="38">
        <f>IMABS(IMDIV(D103,IMSUB(COMPLEX(1,0),IMPRODUCT(COMPLEX(Ported!C$18,0),IMPRODUCT(C103,H103)))))</f>
        <v>9.5206460045713381</v>
      </c>
      <c r="U103" s="21">
        <f>20*LOG10(Ported!C$29*50000*IMABS(N103))</f>
        <v>103.78372066310618</v>
      </c>
      <c r="V103" s="22">
        <f>20*LOG10(Ported!C$29*50000*IMABS(P103))</f>
        <v>87.258211154953301</v>
      </c>
      <c r="W103" s="22">
        <f>20*LOG10(Ported!C$29*50000*IMABS(R103))</f>
        <v>79.216291786089442</v>
      </c>
      <c r="X103" s="28">
        <f>1000*Ported!C$29*IMABS(H103)</f>
        <v>2.6358154701654231</v>
      </c>
      <c r="Y103" s="28">
        <f>1000*Ported!C$29*IMABS(J103)</f>
        <v>2.2819190863314174</v>
      </c>
      <c r="Z103" s="28">
        <f>Ported!C$29*IMABS(IMPRODUCT(C103,J103))</f>
        <v>1.1928983435541312</v>
      </c>
      <c r="AA103" s="28">
        <f>1000*Ported!C$29*IMABS(L103)</f>
        <v>0.90407460944178508</v>
      </c>
      <c r="AB103" s="41" t="str">
        <f t="shared" si="17"/>
        <v>0.0655222260782683+0.0938278333696975i</v>
      </c>
      <c r="AC103" s="28">
        <f>20*LOG10(Ported!C$29*50000*IMABS(AB103))</f>
        <v>104.97829401779576</v>
      </c>
      <c r="AD103" s="28">
        <f t="shared" si="18"/>
        <v>177384.10492857307</v>
      </c>
      <c r="AE103" s="23">
        <f t="shared" si="19"/>
        <v>55.072479449997417</v>
      </c>
      <c r="AG103" s="64"/>
    </row>
    <row r="104" spans="2:34" x14ac:dyDescent="0.25">
      <c r="B104" s="24">
        <v>85.1</v>
      </c>
      <c r="C104" s="17" t="str">
        <f t="shared" si="10"/>
        <v>534.699069640983i</v>
      </c>
      <c r="D104" s="18" t="str">
        <f>COMPLEX(Ported!C$19,2*PI()*B104*Ported!C$20)</f>
        <v>6</v>
      </c>
      <c r="E104" s="19" t="str">
        <f>IMSUB(COMPLEX(1,0),IMDIV(COMPLEX(Ported!C$41,0),IMSUM(COMPLEX(Ported!C$41,0),IMPRODUCT(C104,COMPLEX(Ported!C$42,0)))))</f>
        <v>0.99747019389474+0.0502335165634419i</v>
      </c>
      <c r="F104" s="19" t="str">
        <f>IMDIV(IMPRODUCT(C104,COMPLEX((Ported!C$42*Ported!C$14/Ported!C$24),0)),IMSUM(COMPLEX(Ported!C$41,0),IMPRODUCT(C104,COMPLEX(Ported!C$42,0))))</f>
        <v>5.78842806819746+0.291510562440699i</v>
      </c>
      <c r="G104" s="30" t="str">
        <f>IMPRODUCT(F104,IMSUB(COMPLEX(1,0),IMDIV(IMPRODUCT(COMPLEX(Ported!C$41,0),E104),IMSUM(COMPLEX(0-(2*PI()*B104)^2*Ported!C$38,0),IMPRODUCT(C104,COMPLEX(0,0)),IMPRODUCT(COMPLEX(Ported!C$41,0),E104)))))</f>
        <v>6.6047899635959+0.379826151940122i</v>
      </c>
      <c r="H104" s="32" t="str">
        <f>IMDIV(COMPLEX(Ported!C$18,0),IMPRODUCT(D104,IMSUM(COMPLEX(Ported!C$16-(2*PI()*B104)^2*Ported!C$15,0),IMPRODUCT(C104,IMSUM(COMPLEX(Ported!C$17,0),IMDIV(COMPLEX(Ported!C$18^2,0),D104))),IMPRODUCT(COMPLEX(Ported!C$14*Ported!C$41/Ported!C$24,0),G104))))</f>
        <v>-0.0000520309580070756-0.0000631234517749765i</v>
      </c>
      <c r="I104" s="27">
        <f t="shared" si="11"/>
        <v>-129.49783814175711</v>
      </c>
      <c r="J104" s="20" t="str">
        <f>IMPRODUCT(IMDIV(IMPRODUCT(COMPLEX(-Ported!C$41,0),F104),IMSUM(IMPRODUCT(COMPLEX(Ported!C$41,0),E104),COMPLEX(Calculations!C$3-(2*PI()*B104)^2*Ported!C$38,0),IMPRODUCT(COMPLEX(Calculations!C$4,0),C104))),H104)</f>
        <v>-0.0000397279001701037-0.0000542683417146945i</v>
      </c>
      <c r="K104" s="27">
        <f t="shared" si="12"/>
        <v>-126.20651583764042</v>
      </c>
      <c r="L104" s="40" t="str">
        <f>IMSUM(IMPRODUCT(COMPLEX(-(Ported!C$14/Ported!C$24),0),H104),IMDIV(IMPRODUCT(COMPLEX(-Ported!C$41,0),J104),IMSUM(COMPLEX(Ported!C$41,0),IMPRODUCT(COMPLEX(Ported!C$42,0),C104))),IMDIV(IMPRODUCT(COMPLEX(Ported!C$42*Ported!C$14/Ported!C$24,0),C104,H104),IMSUM(COMPLEX(Ported!C$41,0),IMPRODUCT(COMPLEX(Ported!C$42,0),C104))))</f>
        <v>0.0000219915994281921-0.0000160992585927435i</v>
      </c>
      <c r="M104" s="28">
        <f t="shared" si="13"/>
        <v>-36.206515837643892</v>
      </c>
      <c r="N104" s="39" t="str">
        <f>IMPRODUCT(COMPLEX((Ported!C$10*Ported!C$14)/(2*PI()),0),C104,C104,H104)</f>
        <v>0.0638521192547145+0.0774647695311878i</v>
      </c>
      <c r="O104" s="28">
        <f t="shared" si="14"/>
        <v>50.502161858242928</v>
      </c>
      <c r="P104" s="26" t="str">
        <f>IMPRODUCT(COMPLEX((Ported!C$10*Ported!C$24)/(2*PI()),0),C104,C104,J104)</f>
        <v>0.00840133671473095+0.0114762323138922i</v>
      </c>
      <c r="Q104" s="23">
        <f t="shared" si="15"/>
        <v>53.793484162359533</v>
      </c>
      <c r="R104" s="41" t="str">
        <f>IMPRODUCT(COMPLEX((Ported!C$10*Ported!C$24)/(2*PI()),0),C104,C104,L104)</f>
        <v>-0.0046506065233914+0.00340454168773176i</v>
      </c>
      <c r="S104" s="33">
        <f t="shared" si="16"/>
        <v>143.79348416235612</v>
      </c>
      <c r="T104" s="38">
        <f>IMABS(IMDIV(D104,IMSUB(COMPLEX(1,0),IMPRODUCT(COMPLEX(Ported!C$18,0),IMPRODUCT(C104,H104)))))</f>
        <v>9.2934438106500323</v>
      </c>
      <c r="U104" s="21">
        <f>20*LOG10(Ported!C$29*50000*IMABS(N104))</f>
        <v>103.84032736502795</v>
      </c>
      <c r="V104" s="22">
        <f>20*LOG10(Ported!C$29*50000*IMABS(P104))</f>
        <v>86.866300104054076</v>
      </c>
      <c r="W104" s="22">
        <f>20*LOG10(Ported!C$29*50000*IMABS(R104))</f>
        <v>79.020505411067546</v>
      </c>
      <c r="X104" s="28">
        <f>1000*Ported!C$29*IMABS(H104)</f>
        <v>2.5359043585419574</v>
      </c>
      <c r="Y104" s="28">
        <f>1000*Ported!C$29*IMABS(J104)</f>
        <v>2.0849335636363628</v>
      </c>
      <c r="Z104" s="28">
        <f>Ported!C$29*IMABS(IMPRODUCT(C104,J104))</f>
        <v>1.1148120367396224</v>
      </c>
      <c r="AA104" s="28">
        <f>1000*Ported!C$29*IMABS(L104)</f>
        <v>0.84489450602598148</v>
      </c>
      <c r="AB104" s="41" t="str">
        <f t="shared" si="17"/>
        <v>0.067602849446054+0.0923455435328118i</v>
      </c>
      <c r="AC104" s="28">
        <f>20*LOG10(Ported!C$29*50000*IMABS(AB104))</f>
        <v>104.97863231865111</v>
      </c>
      <c r="AD104" s="28">
        <f t="shared" si="18"/>
        <v>177391.01387694426</v>
      </c>
      <c r="AE104" s="23">
        <f t="shared" si="19"/>
        <v>53.793484162359626</v>
      </c>
      <c r="AG104" s="64"/>
    </row>
    <row r="105" spans="2:34" x14ac:dyDescent="0.25">
      <c r="B105" s="24">
        <v>87.1</v>
      </c>
      <c r="C105" s="17" t="str">
        <f t="shared" si="10"/>
        <v>547.265440255342i</v>
      </c>
      <c r="D105" s="18" t="str">
        <f>COMPLEX(Ported!C$19,2*PI()*B105*Ported!C$20)</f>
        <v>6</v>
      </c>
      <c r="E105" s="19" t="str">
        <f>IMSUB(COMPLEX(1,0),IMDIV(COMPLEX(Ported!C$41,0),IMSUM(COMPLEX(Ported!C$41,0),IMPRODUCT(C105,COMPLEX(Ported!C$42,0)))))</f>
        <v>0.997584762038277+0.0490856861754116i</v>
      </c>
      <c r="F105" s="19" t="str">
        <f>IMDIV(IMPRODUCT(C105,COMPLEX((Ported!C$42*Ported!C$14/Ported!C$24),0)),IMSUM(COMPLEX(Ported!C$41,0),IMPRODUCT(C105,COMPLEX(Ported!C$42,0))))</f>
        <v>5.78909291960036+0.284849577805497i</v>
      </c>
      <c r="G105" s="30" t="str">
        <f>IMPRODUCT(F105,IMSUB(COMPLEX(1,0),IMDIV(IMPRODUCT(COMPLEX(Ported!C$41,0),E105),IMSUM(COMPLEX(0-(2*PI()*B105)^2*Ported!C$38,0),IMPRODUCT(C105,COMPLEX(0,0)),IMPRODUCT(COMPLEX(Ported!C$41,0),E105)))))</f>
        <v>6.56375790484222+0.36643835150814i</v>
      </c>
      <c r="H105" s="32" t="str">
        <f>IMDIV(COMPLEX(Ported!C$18,0),IMPRODUCT(D105,IMSUM(COMPLEX(Ported!C$16-(2*PI()*B105)^2*Ported!C$15,0),IMPRODUCT(C105,IMSUM(COMPLEX(Ported!C$17,0),IMDIV(COMPLEX(Ported!C$18^2,0),D105))),IMPRODUCT(COMPLEX(Ported!C$14*Ported!C$41/Ported!C$24,0),G105))))</f>
        <v>-0.0000512306982145727-0.0000595945909777366i</v>
      </c>
      <c r="I105" s="27">
        <f t="shared" si="11"/>
        <v>-130.68411642115245</v>
      </c>
      <c r="J105" s="20" t="str">
        <f>IMPRODUCT(IMDIV(IMPRODUCT(COMPLEX(-Ported!C$41,0),F105),IMSUM(IMPRODUCT(COMPLEX(Ported!C$41,0),E105),COMPLEX(Calculations!C$3-(2*PI()*B105)^2*Ported!C$38,0),IMPRODUCT(COMPLEX(Calculations!C$4,0),C105))),H105)</f>
        <v>-0.0000373016144697986-0.0000486321757187768i</v>
      </c>
      <c r="K105" s="27">
        <f t="shared" si="12"/>
        <v>-127.48875184218824</v>
      </c>
      <c r="L105" s="40" t="str">
        <f>IMSUM(IMPRODUCT(COMPLEX(-(Ported!C$14/Ported!C$24),0),H105),IMDIV(IMPRODUCT(COMPLEX(-Ported!C$41,0),J105),IMSUM(COMPLEX(Ported!C$41,0),IMPRODUCT(COMPLEX(Ported!C$42,0),C105))),IMDIV(IMPRODUCT(COMPLEX(Ported!C$42*Ported!C$14/Ported!C$24,0),C105,H105),IMSUM(COMPLEX(Ported!C$41,0),IMPRODUCT(COMPLEX(Ported!C$42,0),C105))))</f>
        <v>0.0000201707738338343-0.0000154712886681896i</v>
      </c>
      <c r="M105" s="28">
        <f t="shared" si="13"/>
        <v>-37.488751842192976</v>
      </c>
      <c r="N105" s="39" t="str">
        <f>IMPRODUCT(COMPLEX((Ported!C$10*Ported!C$14)/(2*PI()),0),C105,C105,H105)</f>
        <v>0.0658598835489041+0.0766121282497348i</v>
      </c>
      <c r="O105" s="28">
        <f t="shared" si="14"/>
        <v>49.315883578847576</v>
      </c>
      <c r="P105" s="26" t="str">
        <f>IMPRODUCT(COMPLEX((Ported!C$10*Ported!C$24)/(2*PI()),0),C105,C105,J105)</f>
        <v>0.00826337761030949+0.0107734219466707i</v>
      </c>
      <c r="Q105" s="23">
        <f t="shared" si="15"/>
        <v>52.511248157811799</v>
      </c>
      <c r="R105" s="41" t="str">
        <f>IMPRODUCT(COMPLEX((Ported!C$10*Ported!C$24)/(2*PI()),0),C105,C105,L105)</f>
        <v>-0.00446840500740457+0.00342733423741922i</v>
      </c>
      <c r="S105" s="33">
        <f t="shared" si="16"/>
        <v>142.51124815780699</v>
      </c>
      <c r="T105" s="38">
        <f>IMABS(IMDIV(D105,IMSUB(COMPLEX(1,0),IMPRODUCT(COMPLEX(Ported!C$18,0),IMPRODUCT(C105,H105)))))</f>
        <v>9.0792361894525726</v>
      </c>
      <c r="U105" s="21">
        <f>20*LOG10(Ported!C$29*50000*IMABS(N105))</f>
        <v>103.89559062684022</v>
      </c>
      <c r="V105" s="22">
        <f>20*LOG10(Ported!C$29*50000*IMABS(P105))</f>
        <v>86.463066088901854</v>
      </c>
      <c r="W105" s="22">
        <f>20*LOG10(Ported!C$29*50000*IMABS(R105))</f>
        <v>78.819043294376741</v>
      </c>
      <c r="X105" s="28">
        <f>1000*Ported!C$29*IMABS(H105)</f>
        <v>2.436233121960099</v>
      </c>
      <c r="Y105" s="28">
        <f>1000*Ported!C$29*IMABS(J105)</f>
        <v>1.8999988152272222</v>
      </c>
      <c r="Z105" s="28">
        <f>Ported!C$29*IMABS(IMPRODUCT(C105,J105))</f>
        <v>1.0398036880999535</v>
      </c>
      <c r="AA105" s="28">
        <f>1000*Ported!C$29*IMABS(L105)</f>
        <v>0.7880471276490072</v>
      </c>
      <c r="AB105" s="41" t="str">
        <f t="shared" si="17"/>
        <v>0.069654856151809+0.0908128844338247i</v>
      </c>
      <c r="AC105" s="28">
        <f>20*LOG10(Ported!C$29*50000*IMABS(AB105))</f>
        <v>104.97894210042189</v>
      </c>
      <c r="AD105" s="28">
        <f t="shared" si="18"/>
        <v>177397.34063040724</v>
      </c>
      <c r="AE105" s="23">
        <f t="shared" si="19"/>
        <v>52.511248157811806</v>
      </c>
      <c r="AG105" s="64"/>
    </row>
    <row r="106" spans="2:34" x14ac:dyDescent="0.25">
      <c r="B106" s="24">
        <v>89.1</v>
      </c>
      <c r="C106" s="17" t="str">
        <f t="shared" si="10"/>
        <v>559.831810869701i</v>
      </c>
      <c r="D106" s="18" t="str">
        <f>COMPLEX(Ported!C$19,2*PI()*B106*Ported!C$20)</f>
        <v>6</v>
      </c>
      <c r="E106" s="19" t="str">
        <f>IMSUB(COMPLEX(1,0),IMDIV(COMPLEX(Ported!C$41,0),IMSUM(COMPLEX(Ported!C$41,0),IMPRODUCT(C106,COMPLEX(Ported!C$42,0)))))</f>
        <v>0.997691725829657+0.0479890200014267i</v>
      </c>
      <c r="F106" s="19" t="str">
        <f>IMDIV(IMPRODUCT(C106,COMPLEX((Ported!C$42*Ported!C$14/Ported!C$24),0)),IMSUM(COMPLEX(Ported!C$41,0),IMPRODUCT(C106,COMPLEX(Ported!C$42,0))))</f>
        <v>5.78971364212028+0.278485504671491i</v>
      </c>
      <c r="G106" s="30" t="str">
        <f>IMPRODUCT(F106,IMSUB(COMPLEX(1,0),IMDIV(IMPRODUCT(COMPLEX(Ported!C$41,0),E106),IMSUM(COMPLEX(0-(2*PI()*B106)^2*Ported!C$38,0),IMPRODUCT(C106,COMPLEX(0,0)),IMPRODUCT(COMPLEX(Ported!C$41,0),E106)))))</f>
        <v>6.52590262686719+0.354031793962252i</v>
      </c>
      <c r="H106" s="32" t="str">
        <f>IMDIV(COMPLEX(Ported!C$18,0),IMPRODUCT(D106,IMSUM(COMPLEX(Ported!C$16-(2*PI()*B106)^2*Ported!C$15,0),IMPRODUCT(C106,IMSUM(COMPLEX(Ported!C$17,0),IMDIV(COMPLEX(Ported!C$18^2,0),D106))),IMPRODUCT(COMPLEX(Ported!C$14*Ported!C$41/Ported!C$24,0),G106))))</f>
        <v>-0.0000503676698281603-0.0000563029713049532i</v>
      </c>
      <c r="I106" s="27">
        <f t="shared" si="11"/>
        <v>-131.81526776320987</v>
      </c>
      <c r="J106" s="20" t="str">
        <f>IMPRODUCT(IMDIV(IMPRODUCT(COMPLEX(-Ported!C$41,0),F106),IMSUM(IMPRODUCT(COMPLEX(Ported!C$41,0),E106),COMPLEX(Calculations!C$3-(2*PI()*B106)^2*Ported!C$38,0),IMPRODUCT(COMPLEX(Calculations!C$4,0),C106))),H106)</f>
        <v>-0.0000350033972615348-0.0000436757547241646i</v>
      </c>
      <c r="K106" s="27">
        <f t="shared" si="12"/>
        <v>-128.71000185425521</v>
      </c>
      <c r="L106" s="40" t="str">
        <f>IMSUM(IMPRODUCT(COMPLEX(-(Ported!C$14/Ported!C$24),0),H106),IMDIV(IMPRODUCT(COMPLEX(-Ported!C$41,0),J106),IMSUM(COMPLEX(Ported!C$41,0),IMPRODUCT(COMPLEX(Ported!C$42,0),C106))),IMDIV(IMPRODUCT(COMPLEX(Ported!C$42*Ported!C$14/Ported!C$24,0),C106,H106),IMSUM(COMPLEX(Ported!C$41,0),IMPRODUCT(COMPLEX(Ported!C$42,0),C106))))</f>
        <v>0.0000185309987901094-0.0000148514414095386i</v>
      </c>
      <c r="M106" s="28">
        <f t="shared" si="13"/>
        <v>-38.710001854259069</v>
      </c>
      <c r="N106" s="39" t="str">
        <f>IMPRODUCT(COMPLEX((Ported!C$10*Ported!C$14)/(2*PI()),0),C106,C106,H106)</f>
        <v>0.0677581657877327+0.0757427547678617i</v>
      </c>
      <c r="O106" s="28">
        <f t="shared" si="14"/>
        <v>48.184732236790104</v>
      </c>
      <c r="P106" s="26" t="str">
        <f>IMPRODUCT(COMPLEX((Ported!C$10*Ported!C$24)/(2*PI()),0),C106,C106,J106)</f>
        <v>0.00811445329617536+0.0101248707157319i</v>
      </c>
      <c r="Q106" s="23">
        <f t="shared" si="15"/>
        <v>51.289998145744775</v>
      </c>
      <c r="R106" s="41" t="str">
        <f>IMPRODUCT(COMPLEX((Ported!C$10*Ported!C$24)/(2*PI()),0),C106,C106,L106)</f>
        <v>-0.00429583800367472+0.00344284661280622i</v>
      </c>
      <c r="S106" s="33">
        <f t="shared" si="16"/>
        <v>141.28999814574095</v>
      </c>
      <c r="T106" s="38">
        <f>IMABS(IMDIV(D106,IMSUB(COMPLEX(1,0),IMPRODUCT(COMPLEX(Ported!C$18,0),IMPRODUCT(C106,H106)))))</f>
        <v>8.8869609119444153</v>
      </c>
      <c r="U106" s="21">
        <f>20*LOG10(Ported!C$29*50000*IMABS(N106))</f>
        <v>103.94685257377142</v>
      </c>
      <c r="V106" s="22">
        <f>20*LOG10(Ported!C$29*50000*IMABS(P106))</f>
        <v>86.068955015385399</v>
      </c>
      <c r="W106" s="22">
        <f>20*LOG10(Ported!C$29*50000*IMABS(R106))</f>
        <v>78.622123201444779</v>
      </c>
      <c r="X106" s="28">
        <f>1000*Ported!C$29*IMABS(H106)</f>
        <v>2.3418703206538227</v>
      </c>
      <c r="Y106" s="28">
        <f>1000*Ported!C$29*IMABS(J106)</f>
        <v>1.7351166546148458</v>
      </c>
      <c r="Z106" s="28">
        <f>Ported!C$29*IMABS(IMPRODUCT(C106,J106))</f>
        <v>0.97137349882320811</v>
      </c>
      <c r="AA106" s="28">
        <f>1000*Ported!C$29*IMABS(L106)</f>
        <v>0.736185209172321</v>
      </c>
      <c r="AB106" s="41" t="str">
        <f t="shared" si="17"/>
        <v>0.0715767810802333+0.0893104720963998i</v>
      </c>
      <c r="AC106" s="28">
        <f>20*LOG10(Ported!C$29*50000*IMABS(AB106))</f>
        <v>104.97921298807391</v>
      </c>
      <c r="AD106" s="28">
        <f t="shared" si="18"/>
        <v>177402.87322412367</v>
      </c>
      <c r="AE106" s="23">
        <f t="shared" si="19"/>
        <v>51.289998145744839</v>
      </c>
      <c r="AG106" s="64"/>
    </row>
    <row r="107" spans="2:34" x14ac:dyDescent="0.25">
      <c r="B107" s="24">
        <v>91.2</v>
      </c>
      <c r="C107" s="17" t="str">
        <f t="shared" si="10"/>
        <v>573.026500014778i</v>
      </c>
      <c r="D107" s="18" t="str">
        <f>COMPLEX(Ported!C$19,2*PI()*B107*Ported!C$20)</f>
        <v>6</v>
      </c>
      <c r="E107" s="19" t="str">
        <f>IMSUB(COMPLEX(1,0),IMDIV(COMPLEX(Ported!C$41,0),IMSUM(COMPLEX(Ported!C$41,0),IMPRODUCT(C107,COMPLEX(Ported!C$42,0)))))</f>
        <v>0.997796572524493+0.0468889366787828i</v>
      </c>
      <c r="F107" s="19" t="str">
        <f>IMDIV(IMPRODUCT(C107,COMPLEX((Ported!C$42*Ported!C$14/Ported!C$24),0)),IMSUM(COMPLEX(Ported!C$41,0),IMPRODUCT(C107,COMPLEX(Ported!C$42,0))))</f>
        <v>5.79032207889865+0.272101601452006i</v>
      </c>
      <c r="G107" s="30" t="str">
        <f>IMPRODUCT(F107,IMSUB(COMPLEX(1,0),IMDIV(IMPRODUCT(COMPLEX(Ported!C$41,0),E107),IMSUM(COMPLEX(0-(2*PI()*B107)^2*Ported!C$38,0),IMPRODUCT(C107,COMPLEX(0,0)),IMPRODUCT(COMPLEX(Ported!C$41,0),E107)))))</f>
        <v>6.48921430045344+0.341944897547262i</v>
      </c>
      <c r="H107" s="32" t="str">
        <f>IMDIV(COMPLEX(Ported!C$18,0),IMPRODUCT(D107,IMSUM(COMPLEX(Ported!C$16-(2*PI()*B107)^2*Ported!C$15,0),IMPRODUCT(C107,IMSUM(COMPLEX(Ported!C$17,0),IMDIV(COMPLEX(Ported!C$18^2,0),D107))),IMPRODUCT(COMPLEX(Ported!C$14*Ported!C$41/Ported!C$24,0),G107))))</f>
        <v>-0.0000494108761374478-0.0000530835497733129i</v>
      </c>
      <c r="I107" s="27">
        <f t="shared" si="11"/>
        <v>-132.94780347313701</v>
      </c>
      <c r="J107" s="20" t="str">
        <f>IMPRODUCT(IMDIV(IMPRODUCT(COMPLEX(-Ported!C$41,0),F107),IMSUM(IMPRODUCT(COMPLEX(Ported!C$41,0),E107),COMPLEX(Calculations!C$3-(2*PI()*B107)^2*Ported!C$38,0),IMPRODUCT(COMPLEX(Calculations!C$4,0),C107))),H107)</f>
        <v>-0.0000327309248442239-0.0000391021389463247i</v>
      </c>
      <c r="K107" s="27">
        <f t="shared" si="12"/>
        <v>-129.93142968149698</v>
      </c>
      <c r="L107" s="40" t="str">
        <f>IMSUM(IMPRODUCT(COMPLEX(-(Ported!C$14/Ported!C$24),0),H107),IMDIV(IMPRODUCT(COMPLEX(-Ported!C$41,0),J107),IMSUM(COMPLEX(Ported!C$41,0),IMPRODUCT(COMPLEX(Ported!C$42,0),C107))),IMDIV(IMPRODUCT(COMPLEX(Ported!C$42*Ported!C$14/Ported!C$24,0),C107,H107),IMSUM(COMPLEX(Ported!C$41,0),IMPRODUCT(COMPLEX(Ported!C$42,0),C107))))</f>
        <v>0.0000169815003424027-0.0000142145730752064i</v>
      </c>
      <c r="M107" s="28">
        <f t="shared" si="13"/>
        <v>-39.931429681500106</v>
      </c>
      <c r="N107" s="39" t="str">
        <f>IMPRODUCT(COMPLEX((Ported!C$10*Ported!C$14)/(2*PI()),0),C107,C107,H107)</f>
        <v>0.0696412575802328+0.0748176404067977i</v>
      </c>
      <c r="O107" s="28">
        <f t="shared" si="14"/>
        <v>47.052196526862957</v>
      </c>
      <c r="P107" s="26" t="str">
        <f>IMPRODUCT(COMPLEX((Ported!C$10*Ported!C$24)/(2*PI()),0),C107,C107,J107)</f>
        <v>0.00794953294478833+0.00949694343330951i</v>
      </c>
      <c r="Q107" s="23">
        <f t="shared" si="15"/>
        <v>50.068570318503042</v>
      </c>
      <c r="R107" s="41" t="str">
        <f>IMPRODUCT(COMPLEX((Ported!C$10*Ported!C$24)/(2*PI()),0),C107,C107,L107)</f>
        <v>-0.00412438686246556+0.00345236859316536i</v>
      </c>
      <c r="S107" s="33">
        <f t="shared" si="16"/>
        <v>140.06857031849992</v>
      </c>
      <c r="T107" s="38">
        <f>IMABS(IMDIV(D107,IMSUB(COMPLEX(1,0),IMPRODUCT(COMPLEX(Ported!C$18,0),IMPRODUCT(C107,H107)))))</f>
        <v>8.7053411523719753</v>
      </c>
      <c r="U107" s="21">
        <f>20*LOG10(Ported!C$29*50000*IMABS(N107))</f>
        <v>103.99679271008181</v>
      </c>
      <c r="V107" s="22">
        <f>20*LOG10(Ported!C$29*50000*IMABS(P107))</f>
        <v>85.664519741711715</v>
      </c>
      <c r="W107" s="22">
        <f>20*LOG10(Ported!C$29*50000*IMABS(R107))</f>
        <v>78.42003061360144</v>
      </c>
      <c r="X107" s="28">
        <f>1000*Ported!C$29*IMABS(H107)</f>
        <v>2.2481515335170275</v>
      </c>
      <c r="Y107" s="28">
        <f>1000*Ported!C$29*IMABS(J107)</f>
        <v>1.5807844171783245</v>
      </c>
      <c r="Z107" s="28">
        <f>Ported!C$29*IMABS(IMPRODUCT(C107,J107))</f>
        <v>0.90583136185359725</v>
      </c>
      <c r="AA107" s="28">
        <f>1000*Ported!C$29*IMABS(L107)</f>
        <v>0.68651208974599942</v>
      </c>
      <c r="AB107" s="41" t="str">
        <f t="shared" si="17"/>
        <v>0.0734664036625556+0.0877669524332726i</v>
      </c>
      <c r="AC107" s="28">
        <f>20*LOG10(Ported!C$29*50000*IMABS(AB107))</f>
        <v>104.97946308606181</v>
      </c>
      <c r="AD107" s="28">
        <f t="shared" si="18"/>
        <v>177407.98136413627</v>
      </c>
      <c r="AE107" s="23">
        <f t="shared" si="19"/>
        <v>50.068570318502935</v>
      </c>
      <c r="AG107" s="64"/>
    </row>
    <row r="108" spans="2:34" x14ac:dyDescent="0.25">
      <c r="B108" s="24">
        <v>93.3</v>
      </c>
      <c r="C108" s="17" t="str">
        <f t="shared" si="10"/>
        <v>586.221189159855i</v>
      </c>
      <c r="D108" s="18" t="str">
        <f>COMPLEX(Ported!C$19,2*PI()*B108*Ported!C$20)</f>
        <v>6</v>
      </c>
      <c r="E108" s="19" t="str">
        <f>IMSUB(COMPLEX(1,0),IMDIV(COMPLEX(Ported!C$41,0),IMSUM(COMPLEX(Ported!C$41,0),IMPRODUCT(C108,COMPLEX(Ported!C$42,0)))))</f>
        <v>0.997894439403966+0.0458380541756532i</v>
      </c>
      <c r="F108" s="19" t="str">
        <f>IMDIV(IMPRODUCT(C108,COMPLEX((Ported!C$42*Ported!C$14/Ported!C$24),0)),IMSUM(COMPLEX(Ported!C$41,0),IMPRODUCT(C108,COMPLEX(Ported!C$42,0))))</f>
        <v>5.79089001104894+0.266003215941615i</v>
      </c>
      <c r="G108" s="30" t="str">
        <f>IMPRODUCT(F108,IMSUB(COMPLEX(1,0),IMDIV(IMPRODUCT(COMPLEX(Ported!C$41,0),E108),IMSUM(COMPLEX(0-(2*PI()*B108)^2*Ported!C$38,0),IMPRODUCT(C108,COMPLEX(0,0)),IMPRODUCT(COMPLEX(Ported!C$41,0),E108)))))</f>
        <v>6.45533558638823+0.330717286695552i</v>
      </c>
      <c r="H108" s="32" t="str">
        <f>IMDIV(COMPLEX(Ported!C$18,0),IMPRODUCT(D108,IMSUM(COMPLEX(Ported!C$16-(2*PI()*B108)^2*Ported!C$15,0),IMPRODUCT(C108,IMSUM(COMPLEX(Ported!C$17,0),IMDIV(COMPLEX(Ported!C$18^2,0),D108))),IMPRODUCT(COMPLEX(Ported!C$14*Ported!C$41/Ported!C$24,0),G108))))</f>
        <v>-0.0000484168455964215-0.0000500885480966725i</v>
      </c>
      <c r="I108" s="27">
        <f t="shared" si="11"/>
        <v>-134.02774558098659</v>
      </c>
      <c r="J108" s="20" t="str">
        <f>IMPRODUCT(IMDIV(IMPRODUCT(COMPLEX(-Ported!C$41,0),F108),IMSUM(IMPRODUCT(COMPLEX(Ported!C$41,0),E108),COMPLEX(Calculations!C$3-(2*PI()*B108)^2*Ported!C$38,0),IMPRODUCT(COMPLEX(Calculations!C$4,0),C108))),H108)</f>
        <v>-0.000030601610574559-0.0000350855217382961i</v>
      </c>
      <c r="K108" s="27">
        <f t="shared" si="12"/>
        <v>-131.09495417802384</v>
      </c>
      <c r="L108" s="40" t="str">
        <f>IMSUM(IMPRODUCT(COMPLEX(-(Ported!C$14/Ported!C$24),0),H108),IMDIV(IMPRODUCT(COMPLEX(-Ported!C$41,0),J108),IMSUM(COMPLEX(Ported!C$41,0),IMPRODUCT(COMPLEX(Ported!C$42,0),C108))),IMDIV(IMPRODUCT(COMPLEX(Ported!C$42*Ported!C$14/Ported!C$24,0),C108,H108),IMSUM(COMPLEX(Ported!C$41,0),IMPRODUCT(COMPLEX(Ported!C$42,0),C108))))</f>
        <v>0.000015587996086585-0.0000135958584124114i</v>
      </c>
      <c r="M108" s="28">
        <f t="shared" si="13"/>
        <v>-41.094954178025766</v>
      </c>
      <c r="N108" s="39" t="str">
        <f>IMPRODUCT(COMPLEX((Ported!C$10*Ported!C$14)/(2*PI()),0),C108,C108,H108)</f>
        <v>0.0714190637194503+0.0738849704904237i</v>
      </c>
      <c r="O108" s="28">
        <f t="shared" si="14"/>
        <v>45.972254419013417</v>
      </c>
      <c r="P108" s="26" t="str">
        <f>IMPRODUCT(COMPLEX((Ported!C$10*Ported!C$24)/(2*PI()),0),C108,C108,J108)</f>
        <v>0.00777859628052581+0.00891835768672612i</v>
      </c>
      <c r="Q108" s="23">
        <f t="shared" si="15"/>
        <v>48.905045821976174</v>
      </c>
      <c r="R108" s="41" t="str">
        <f>IMPRODUCT(COMPLEX((Ported!C$10*Ported!C$24)/(2*PI()),0),C108,C108,L108)</f>
        <v>-0.00396229891510239+0.00345591920463366i</v>
      </c>
      <c r="S108" s="33">
        <f t="shared" si="16"/>
        <v>138.90504582197423</v>
      </c>
      <c r="T108" s="38">
        <f>IMABS(IMDIV(D108,IMSUB(COMPLEX(1,0),IMPRODUCT(COMPLEX(Ported!C$18,0),IMPRODUCT(C108,H108)))))</f>
        <v>8.5416294389986831</v>
      </c>
      <c r="U108" s="21">
        <f>20*LOG10(Ported!C$29*50000*IMABS(N108))</f>
        <v>104.04313805422956</v>
      </c>
      <c r="V108" s="22">
        <f>20*LOG10(Ported!C$29*50000*IMABS(P108))</f>
        <v>85.269268609090972</v>
      </c>
      <c r="W108" s="22">
        <f>20*LOG10(Ported!C$29*50000*IMABS(R108))</f>
        <v>78.222515589342365</v>
      </c>
      <c r="X108" s="28">
        <f>1000*Ported!C$29*IMABS(H108)</f>
        <v>2.159579704018983</v>
      </c>
      <c r="Y108" s="28">
        <f>1000*Ported!C$29*IMABS(J108)</f>
        <v>1.4432330932994153</v>
      </c>
      <c r="Z108" s="28">
        <f>Ported!C$29*IMABS(IMPRODUCT(C108,J108))</f>
        <v>0.84605382018884012</v>
      </c>
      <c r="AA108" s="28">
        <f>1000*Ported!C$29*IMABS(L108)</f>
        <v>0.64120784573729595</v>
      </c>
      <c r="AB108" s="41" t="str">
        <f t="shared" si="17"/>
        <v>0.0752353610848737+0.0862592473817835i</v>
      </c>
      <c r="AC108" s="28">
        <f>20*LOG10(Ported!C$29*50000*IMABS(AB108))</f>
        <v>104.97968417016445</v>
      </c>
      <c r="AD108" s="28">
        <f t="shared" si="18"/>
        <v>177412.49703094322</v>
      </c>
      <c r="AE108" s="23">
        <f t="shared" si="19"/>
        <v>48.905045821976088</v>
      </c>
      <c r="AG108" s="64"/>
    </row>
    <row r="109" spans="2:34" x14ac:dyDescent="0.25">
      <c r="B109" s="24">
        <v>95.5</v>
      </c>
      <c r="C109" s="17" t="str">
        <f t="shared" si="10"/>
        <v>600.04419683565i</v>
      </c>
      <c r="D109" s="18" t="str">
        <f>COMPLEX(Ported!C$19,2*PI()*B109*Ported!C$20)</f>
        <v>6</v>
      </c>
      <c r="E109" s="19" t="str">
        <f>IMSUB(COMPLEX(1,0),IMDIV(COMPLEX(Ported!C$41,0),IMSUM(COMPLEX(Ported!C$41,0),IMPRODUCT(C109,COMPLEX(Ported!C$42,0)))))</f>
        <v>0.997990139400581+0.0447863936903778i</v>
      </c>
      <c r="F109" s="19" t="str">
        <f>IMDIV(IMPRODUCT(C109,COMPLEX((Ported!C$42*Ported!C$14/Ported!C$24),0)),IMSUM(COMPLEX(Ported!C$41,0),IMPRODUCT(C109,COMPLEX(Ported!C$42,0))))</f>
        <v>5.79144536854226+0.259900315716183i</v>
      </c>
      <c r="G109" s="30" t="str">
        <f>IMPRODUCT(F109,IMSUB(COMPLEX(1,0),IMDIV(IMPRODUCT(COMPLEX(Ported!C$41,0),E109),IMSUM(COMPLEX(0-(2*PI()*B109)^2*Ported!C$38,0),IMPRODUCT(C109,COMPLEX(0,0)),IMPRODUCT(COMPLEX(Ported!C$41,0),E109)))))</f>
        <v>6.42254463169295+0.319778080607565i</v>
      </c>
      <c r="H109" s="32" t="str">
        <f>IMDIV(COMPLEX(Ported!C$18,0),IMPRODUCT(D109,IMSUM(COMPLEX(Ported!C$16-(2*PI()*B109)^2*Ported!C$15,0),IMPRODUCT(C109,IMSUM(COMPLEX(Ported!C$17,0),IMDIV(COMPLEX(Ported!C$18^2,0),D109))),IMPRODUCT(COMPLEX(Ported!C$14*Ported!C$41/Ported!C$24,0),G109))))</f>
        <v>-0.0000473488546805754-0.0000471729195112719i</v>
      </c>
      <c r="I109" s="27">
        <f t="shared" si="11"/>
        <v>-135.10664559689104</v>
      </c>
      <c r="J109" s="20" t="str">
        <f>IMPRODUCT(IMDIV(IMPRODUCT(COMPLEX(-Ported!C$41,0),F109),IMSUM(IMPRODUCT(COMPLEX(Ported!C$41,0),E109),COMPLEX(Calculations!C$3-(2*PI()*B109)^2*Ported!C$38,0),IMPRODUCT(COMPLEX(Calculations!C$4,0),C109))),H109)</f>
        <v>-0.0000285204616220841-0.0000313917026565513i</v>
      </c>
      <c r="K109" s="27">
        <f t="shared" si="12"/>
        <v>-132.25624631209377</v>
      </c>
      <c r="L109" s="40" t="str">
        <f>IMSUM(IMPRODUCT(COMPLEX(-(Ported!C$14/Ported!C$24),0),H109),IMDIV(IMPRODUCT(COMPLEX(-Ported!C$41,0),J109),IMSUM(COMPLEX(Ported!C$41,0),IMPRODUCT(COMPLEX(Ported!C$42,0),C109))),IMDIV(IMPRODUCT(COMPLEX(Ported!C$42*Ported!C$14/Ported!C$24,0),C109,H109),IMSUM(COMPLEX(Ported!C$41,0),IMPRODUCT(COMPLEX(Ported!C$42,0),C109))))</f>
        <v>0.000014275750493812-0.0000129700194519488i</v>
      </c>
      <c r="M109" s="28">
        <f t="shared" si="13"/>
        <v>-42.256246312097261</v>
      </c>
      <c r="N109" s="39" t="str">
        <f>IMPRODUCT(COMPLEX((Ported!C$10*Ported!C$14)/(2*PI()),0),C109,C109,H109)</f>
        <v>0.0731763250323656+0.072904422169658i</v>
      </c>
      <c r="O109" s="28">
        <f t="shared" si="14"/>
        <v>44.89335440310898</v>
      </c>
      <c r="P109" s="26" t="str">
        <f>IMPRODUCT(COMPLEX((Ported!C$10*Ported!C$24)/(2*PI()),0),C109,C109,J109)</f>
        <v>0.00759551024207464+0.00836017320488846i</v>
      </c>
      <c r="Q109" s="23">
        <f t="shared" si="15"/>
        <v>47.743753687906242</v>
      </c>
      <c r="R109" s="41" t="str">
        <f>IMPRODUCT(COMPLEX((Ported!C$10*Ported!C$24)/(2*PI()),0),C109,C109,L109)</f>
        <v>-0.00380188829079435+0.00345414870532469i</v>
      </c>
      <c r="S109" s="33">
        <f t="shared" si="16"/>
        <v>137.74375368790277</v>
      </c>
      <c r="T109" s="38">
        <f>IMABS(IMDIV(D109,IMSUB(COMPLEX(1,0),IMPRODUCT(COMPLEX(Ported!C$18,0),IMPRODUCT(C109,H109)))))</f>
        <v>8.3867188574630358</v>
      </c>
      <c r="U109" s="21">
        <f>20*LOG10(Ported!C$29*50000*IMABS(N109))</f>
        <v>104.08820868509224</v>
      </c>
      <c r="V109" s="22">
        <f>20*LOG10(Ported!C$29*50000*IMABS(P109))</f>
        <v>84.864605357070786</v>
      </c>
      <c r="W109" s="22">
        <f>20*LOG10(Ported!C$29*50000*IMABS(R109))</f>
        <v>78.020286894067425</v>
      </c>
      <c r="X109" s="28">
        <f>1000*Ported!C$29*IMABS(H109)</f>
        <v>2.0719502016609366</v>
      </c>
      <c r="Y109" s="28">
        <f>1000*Ported!C$29*IMABS(J109)</f>
        <v>1.3148004994934981</v>
      </c>
      <c r="Z109" s="28">
        <f>Ported!C$29*IMABS(IMPRODUCT(C109,J109))</f>
        <v>0.78893840971768758</v>
      </c>
      <c r="AA109" s="28">
        <f>1000*Ported!C$29*IMABS(L109)</f>
        <v>0.59792117953157431</v>
      </c>
      <c r="AB109" s="41" t="str">
        <f t="shared" si="17"/>
        <v>0.0769699469836459+0.0847187440798712i</v>
      </c>
      <c r="AC109" s="28">
        <f>20*LOG10(Ported!C$29*50000*IMABS(AB109))</f>
        <v>104.97989003163414</v>
      </c>
      <c r="AD109" s="28">
        <f t="shared" si="18"/>
        <v>177416.70187716055</v>
      </c>
      <c r="AE109" s="23">
        <f t="shared" si="19"/>
        <v>47.743753687906256</v>
      </c>
      <c r="AG109" s="64"/>
    </row>
    <row r="110" spans="2:34" x14ac:dyDescent="0.25">
      <c r="B110" s="24">
        <v>97.7</v>
      </c>
      <c r="C110" s="17" t="str">
        <f t="shared" si="10"/>
        <v>613.867204511446i</v>
      </c>
      <c r="D110" s="18" t="str">
        <f>COMPLEX(Ported!C$19,2*PI()*B110*Ported!C$20)</f>
        <v>6</v>
      </c>
      <c r="E110" s="19" t="str">
        <f>IMSUB(COMPLEX(1,0),IMDIV(COMPLEX(Ported!C$41,0),IMSUM(COMPLEX(Ported!C$41,0),IMPRODUCT(C110,COMPLEX(Ported!C$42,0)))))</f>
        <v>0.998079464134644+0.0437818159439091i</v>
      </c>
      <c r="F110" s="19" t="str">
        <f>IMDIV(IMPRODUCT(C110,COMPLEX((Ported!C$42*Ported!C$14/Ported!C$24),0)),IMSUM(COMPLEX(Ported!C$41,0),IMPRODUCT(C110,COMPLEX(Ported!C$42,0))))</f>
        <v>5.79196372969329+0.254070641747038i</v>
      </c>
      <c r="G110" s="30" t="str">
        <f>IMPRODUCT(F110,IMSUB(COMPLEX(1,0),IMDIV(IMPRODUCT(COMPLEX(Ported!C$41,0),E110),IMSUM(COMPLEX(0-(2*PI()*B110)^2*Ported!C$38,0),IMPRODUCT(C110,COMPLEX(0,0)),IMPRODUCT(COMPLEX(Ported!C$41,0),E110)))))</f>
        <v>6.39223502280387+0.30959286752569i</v>
      </c>
      <c r="H110" s="32" t="str">
        <f>IMDIV(COMPLEX(Ported!C$18,0),IMPRODUCT(D110,IMSUM(COMPLEX(Ported!C$16-(2*PI()*B110)^2*Ported!C$15,0),IMPRODUCT(C110,IMSUM(COMPLEX(Ported!C$17,0),IMDIV(COMPLEX(Ported!C$18^2,0),D110))),IMPRODUCT(COMPLEX(Ported!C$14*Ported!C$41/Ported!C$24,0),G110))))</f>
        <v>-0.0000462649211644568-0.0000444664347438068i</v>
      </c>
      <c r="I110" s="27">
        <f t="shared" si="11"/>
        <v>-136.13557421765788</v>
      </c>
      <c r="J110" s="20" t="str">
        <f>IMPRODUCT(IMDIV(IMPRODUCT(COMPLEX(-Ported!C$41,0),F110),IMSUM(IMPRODUCT(COMPLEX(Ported!C$41,0),E110),COMPLEX(Calculations!C$3-(2*PI()*B110)^2*Ported!C$38,0),IMPRODUCT(COMPLEX(Calculations!C$4,0),C110))),H110)</f>
        <v>-0.0000265861783684254-0.0000281507289989055i</v>
      </c>
      <c r="K110" s="27">
        <f t="shared" si="12"/>
        <v>-133.36275464082325</v>
      </c>
      <c r="L110" s="40" t="str">
        <f>IMSUM(IMPRODUCT(COMPLEX(-(Ported!C$14/Ported!C$24),0),H110),IMDIV(IMPRODUCT(COMPLEX(-Ported!C$41,0),J110),IMSUM(COMPLEX(Ported!C$41,0),IMPRODUCT(COMPLEX(Ported!C$42,0),C110))),IMDIV(IMPRODUCT(COMPLEX(Ported!C$42*Ported!C$14/Ported!C$24,0),C110,H110),IMSUM(COMPLEX(Ported!C$41,0),IMPRODUCT(COMPLEX(Ported!C$42,0),C110))))</f>
        <v>0.0000130967915390143-0.000012368902983788i</v>
      </c>
      <c r="M110" s="28">
        <f t="shared" si="13"/>
        <v>-43.362754640827426</v>
      </c>
      <c r="N110" s="39" t="str">
        <f>IMPRODUCT(COMPLEX((Ported!C$10*Ported!C$14)/(2*PI()),0),C110,C110,H110)</f>
        <v>0.0748333741531225+0.0719243276479442i</v>
      </c>
      <c r="O110" s="28">
        <f t="shared" si="14"/>
        <v>43.864425782342103</v>
      </c>
      <c r="P110" s="26" t="str">
        <f>IMPRODUCT(COMPLEX((Ported!C$10*Ported!C$24)/(2*PI()),0),C110,C110,J110)</f>
        <v>0.00741034967230702+0.00784643593830662i</v>
      </c>
      <c r="Q110" s="23">
        <f t="shared" si="15"/>
        <v>46.637245359176752</v>
      </c>
      <c r="R110" s="41" t="str">
        <f>IMPRODUCT(COMPLEX((Ported!C$10*Ported!C$24)/(2*PI()),0),C110,C110,L110)</f>
        <v>-0.00365046091034542+0.00344757696659278i</v>
      </c>
      <c r="S110" s="33">
        <f t="shared" si="16"/>
        <v>136.63724535917257</v>
      </c>
      <c r="T110" s="38">
        <f>IMABS(IMDIV(D110,IMSUB(COMPLEX(1,0),IMPRODUCT(COMPLEX(Ported!C$18,0),IMPRODUCT(C110,H110)))))</f>
        <v>8.2465424672568588</v>
      </c>
      <c r="U110" s="21">
        <f>20*LOG10(Ported!C$29*50000*IMABS(N110))</f>
        <v>104.13005812666499</v>
      </c>
      <c r="V110" s="22">
        <f>20*LOG10(Ported!C$29*50000*IMABS(P110))</f>
        <v>84.46914158767278</v>
      </c>
      <c r="W110" s="22">
        <f>20*LOG10(Ported!C$29*50000*IMABS(R110))</f>
        <v>77.822646967370247</v>
      </c>
      <c r="X110" s="28">
        <f>1000*Ported!C$29*IMABS(H110)</f>
        <v>1.9892501567074625</v>
      </c>
      <c r="Y110" s="28">
        <f>1000*Ported!C$29*IMABS(J110)</f>
        <v>1.2003400246991081</v>
      </c>
      <c r="Z110" s="28">
        <f>Ported!C$29*IMABS(IMPRODUCT(C110,J110))</f>
        <v>0.73684937542524165</v>
      </c>
      <c r="AA110" s="28">
        <f>1000*Ported!C$29*IMABS(L110)</f>
        <v>0.55844390672908661</v>
      </c>
      <c r="AB110" s="41" t="str">
        <f t="shared" si="17"/>
        <v>0.0785932629150841+0.0832183405528436i</v>
      </c>
      <c r="AC110" s="28">
        <f>20*LOG10(Ported!C$29*50000*IMABS(AB110))</f>
        <v>104.98007394763725</v>
      </c>
      <c r="AD110" s="28">
        <f t="shared" si="18"/>
        <v>177420.4585581118</v>
      </c>
      <c r="AE110" s="23">
        <f t="shared" si="19"/>
        <v>46.637245359176838</v>
      </c>
      <c r="AG110" s="64"/>
    </row>
    <row r="111" spans="2:34" x14ac:dyDescent="0.25">
      <c r="B111" s="25">
        <v>100</v>
      </c>
      <c r="C111" s="17" t="str">
        <f t="shared" si="10"/>
        <v>628.318530717959i</v>
      </c>
      <c r="D111" s="18" t="str">
        <f>COMPLEX(Ported!C$19,2*PI()*B111*Ported!C$20)</f>
        <v>6</v>
      </c>
      <c r="E111" s="19" t="str">
        <f>IMSUB(COMPLEX(1,0),IMDIV(COMPLEX(Ported!C$41,0),IMSUM(COMPLEX(Ported!C$41,0),IMPRODUCT(C111,COMPLEX(Ported!C$42,0)))))</f>
        <v>0.998166632715421+0.0427785699735181i</v>
      </c>
      <c r="F111" s="19" t="str">
        <f>IMDIV(IMPRODUCT(C111,COMPLEX((Ported!C$42*Ported!C$14/Ported!C$24),0)),IMSUM(COMPLEX(Ported!C$41,0),IMPRODUCT(C111,COMPLEX(Ported!C$42,0))))</f>
        <v>5.79246957845219+0.24824869621938i</v>
      </c>
      <c r="G111" s="30" t="str">
        <f>IMPRODUCT(F111,IMSUB(COMPLEX(1,0),IMDIV(IMPRODUCT(COMPLEX(Ported!C$41,0),E111),IMSUM(COMPLEX(0-(2*PI()*B111)^2*Ported!C$38,0),IMPRODUCT(C111,COMPLEX(0,0)),IMPRODUCT(COMPLEX(Ported!C$41,0),E111)))))</f>
        <v>6.36292960028076+0.299667014141952i</v>
      </c>
      <c r="H111" s="32" t="str">
        <f>IMDIV(COMPLEX(Ported!C$18,0),IMPRODUCT(D111,IMSUM(COMPLEX(Ported!C$16-(2*PI()*B111)^2*Ported!C$15,0),IMPRODUCT(C111,IMSUM(COMPLEX(Ported!C$17,0),IMDIV(COMPLEX(Ported!C$18^2,0),D111))),IMPRODUCT(COMPLEX(Ported!C$14*Ported!C$41/Ported!C$24,0),G111))))</f>
        <v>-0.0000451247648368484-0.0000418422606416743i</v>
      </c>
      <c r="I111" s="27">
        <f t="shared" si="11"/>
        <v>-137.16155951312794</v>
      </c>
      <c r="J111" s="20" t="str">
        <f>IMPRODUCT(IMDIV(IMPRODUCT(COMPLEX(-Ported!C$41,0),F111),IMSUM(IMPRODUCT(COMPLEX(Ported!C$41,0),E111),COMPLEX(Calculations!C$3-(2*PI()*B111)^2*Ported!C$38,0),IMPRODUCT(COMPLEX(Calculations!C$4,0),C111))),H111)</f>
        <v>-0.0000247128260917187-0.000025178558608988i</v>
      </c>
      <c r="K111" s="27">
        <f t="shared" si="12"/>
        <v>-134.4651635203515</v>
      </c>
      <c r="L111" s="40" t="str">
        <f>IMSUM(IMPRODUCT(COMPLEX(-(Ported!C$14/Ported!C$24),0),H111),IMDIV(IMPRODUCT(COMPLEX(-Ported!C$41,0),J111),IMSUM(COMPLEX(Ported!C$41,0),IMPRODUCT(COMPLEX(Ported!C$42,0),C111))),IMDIV(IMPRODUCT(COMPLEX(Ported!C$42*Ported!C$14/Ported!C$24,0),C111,H111),IMSUM(COMPLEX(Ported!C$41,0),IMPRODUCT(COMPLEX(Ported!C$42,0),C111))))</f>
        <v>0.000011989789813804-0.0000117680124246294i</v>
      </c>
      <c r="M111" s="28">
        <f t="shared" si="13"/>
        <v>-44.465163520354572</v>
      </c>
      <c r="N111" s="39" t="str">
        <f>IMPRODUCT(COMPLEX((Ported!C$10*Ported!C$14)/(2*PI()),0),C111,C111,H111)</f>
        <v>0.0764661677546+0.0709038004525017i</v>
      </c>
      <c r="O111" s="28">
        <f t="shared" si="14"/>
        <v>42.838440486872052</v>
      </c>
      <c r="P111" s="26" t="str">
        <f>IMPRODUCT(COMPLEX((Ported!C$10*Ported!C$24)/(2*PI()),0),C111,C111,J111)</f>
        <v>0.00721632481281983+0.00735232209245244i</v>
      </c>
      <c r="Q111" s="23">
        <f t="shared" si="15"/>
        <v>45.534836479648511</v>
      </c>
      <c r="R111" s="41" t="str">
        <f>IMPRODUCT(COMPLEX((Ported!C$10*Ported!C$24)/(2*PI()),0),C111,C111,L111)</f>
        <v>-0.00350110575831074+0.00343634514896225i</v>
      </c>
      <c r="S111" s="33">
        <f t="shared" si="16"/>
        <v>135.53483647964541</v>
      </c>
      <c r="T111" s="38">
        <f>IMABS(IMDIV(D111,IMSUB(COMPLEX(1,0),IMPRODUCT(COMPLEX(Ported!C$18,0),IMPRODUCT(C111,H111)))))</f>
        <v>8.1136862440733992</v>
      </c>
      <c r="U111" s="21">
        <f>20*LOG10(Ported!C$29*50000*IMABS(N111))</f>
        <v>104.17069647930472</v>
      </c>
      <c r="V111" s="22">
        <f>20*LOG10(Ported!C$29*50000*IMABS(P111))</f>
        <v>84.065096790361139</v>
      </c>
      <c r="W111" s="22">
        <f>20*LOG10(Ported!C$29*50000*IMABS(R111))</f>
        <v>77.620710895683359</v>
      </c>
      <c r="X111" s="28">
        <f>1000*Ported!C$29*IMABS(H111)</f>
        <v>1.9077016090773726</v>
      </c>
      <c r="Y111" s="28">
        <f>1000*Ported!C$29*IMABS(J111)</f>
        <v>1.0936822788955716</v>
      </c>
      <c r="Z111" s="28">
        <f>Ported!C$29*IMABS(IMPRODUCT(C111,J111))</f>
        <v>0.68718084254793477</v>
      </c>
      <c r="AA111" s="28">
        <f>1000*Ported!C$29*IMABS(L111)</f>
        <v>0.52080108518840307</v>
      </c>
      <c r="AB111" s="41" t="str">
        <f t="shared" si="17"/>
        <v>0.0801813868091091+0.0816924676939164i</v>
      </c>
      <c r="AC111" s="28">
        <f>20*LOG10(Ported!C$29*50000*IMABS(AB111))</f>
        <v>104.98024660157466</v>
      </c>
      <c r="AD111" s="28">
        <f t="shared" si="18"/>
        <v>177423.98527172115</v>
      </c>
      <c r="AE111" s="23">
        <f t="shared" si="19"/>
        <v>45.534836479648696</v>
      </c>
      <c r="AG111" s="64"/>
    </row>
    <row r="112" spans="2:34" x14ac:dyDescent="0.25">
      <c r="B112" s="25">
        <v>102</v>
      </c>
      <c r="C112" s="17" t="str">
        <f t="shared" si="10"/>
        <v>640.884901332318i</v>
      </c>
      <c r="D112" s="18" t="str">
        <f>COMPLEX(Ported!C$19,2*PI()*B112*Ported!C$20)</f>
        <v>6</v>
      </c>
      <c r="E112" s="19" t="str">
        <f>IMSUB(COMPLEX(1,0),IMDIV(COMPLEX(Ported!C$41,0),IMSUM(COMPLEX(Ported!C$41,0),IMPRODUCT(C112,COMPLEX(Ported!C$42,0)))))</f>
        <v>0.998237699139997+0.0419427604680672i</v>
      </c>
      <c r="F112" s="19" t="str">
        <f>IMDIV(IMPRODUCT(C112,COMPLEX((Ported!C$42*Ported!C$14/Ported!C$24),0)),IMSUM(COMPLEX(Ported!C$41,0),IMPRODUCT(C112,COMPLEX(Ported!C$42,0))))</f>
        <v>5.79288198464662+0.243398402716245i</v>
      </c>
      <c r="G112" s="30" t="str">
        <f>IMPRODUCT(F112,IMSUB(COMPLEX(1,0),IMDIV(IMPRODUCT(COMPLEX(Ported!C$41,0),E112),IMSUM(COMPLEX(0-(2*PI()*B112)^2*Ported!C$38,0),IMPRODUCT(C112,COMPLEX(0,0)),IMPRODUCT(COMPLEX(Ported!C$41,0),E112)))))</f>
        <v>6.33923433200842+0.291577336699522i</v>
      </c>
      <c r="H112" s="32" t="str">
        <f>IMDIV(COMPLEX(Ported!C$18,0),IMPRODUCT(D112,IMSUM(COMPLEX(Ported!C$16-(2*PI()*B112)^2*Ported!C$15,0),IMPRODUCT(C112,IMSUM(COMPLEX(Ported!C$17,0),IMDIV(COMPLEX(Ported!C$18^2,0),D112))),IMPRODUCT(COMPLEX(Ported!C$14*Ported!C$41/Ported!C$24,0),G112))))</f>
        <v>-0.000044134122877683-0.0000397174280775399i</v>
      </c>
      <c r="I112" s="27">
        <f t="shared" si="11"/>
        <v>-138.01514196783981</v>
      </c>
      <c r="J112" s="20" t="str">
        <f>IMPRODUCT(IMDIV(IMPRODUCT(COMPLEX(-Ported!C$41,0),F112),IMSUM(IMPRODUCT(COMPLEX(Ported!C$41,0),E112),COMPLEX(Calculations!C$3-(2*PI()*B112)^2*Ported!C$38,0),IMPRODUCT(COMPLEX(Calculations!C$4,0),C112))),H112)</f>
        <v>-0.0000232003326176369-0.0000228933039493478i</v>
      </c>
      <c r="K112" s="27">
        <f t="shared" si="12"/>
        <v>-135.3816402442981</v>
      </c>
      <c r="L112" s="40" t="str">
        <f>IMSUM(IMPRODUCT(COMPLEX(-(Ported!C$14/Ported!C$24),0),H112),IMDIV(IMPRODUCT(COMPLEX(-Ported!C$41,0),J112),IMSUM(COMPLEX(Ported!C$41,0),IMPRODUCT(COMPLEX(Ported!C$42,0),C112))),IMDIV(IMPRODUCT(COMPLEX(Ported!C$42*Ported!C$14/Ported!C$24,0),C112,H112),IMSUM(COMPLEX(Ported!C$41,0),IMPRODUCT(COMPLEX(Ported!C$42,0),C112))))</f>
        <v>0.0000111196047753966-0.0000112687329857098i</v>
      </c>
      <c r="M112" s="28">
        <f t="shared" si="13"/>
        <v>-45.381640244301572</v>
      </c>
      <c r="N112" s="39" t="str">
        <f>IMPRODUCT(COMPLEX((Ported!C$10*Ported!C$14)/(2*PI()),0),C112,C112,H112)</f>
        <v>0.0778088894868666+0.0700222134368181i</v>
      </c>
      <c r="O112" s="28">
        <f t="shared" si="14"/>
        <v>41.98485803216019</v>
      </c>
      <c r="P112" s="26" t="str">
        <f>IMPRODUCT(COMPLEX((Ported!C$10*Ported!C$24)/(2*PI()),0),C112,C112,J112)</f>
        <v>0.00704836222209498+0.00695508557376693i</v>
      </c>
      <c r="Q112" s="23">
        <f t="shared" si="15"/>
        <v>44.618359755701889</v>
      </c>
      <c r="R112" s="41" t="str">
        <f>IMPRODUCT(COMPLEX((Ported!C$10*Ported!C$24)/(2*PI()),0),C112,C112,L112)</f>
        <v>-0.00337818442154366+0.00342349022216055i</v>
      </c>
      <c r="S112" s="33">
        <f t="shared" si="16"/>
        <v>134.61835975569844</v>
      </c>
      <c r="T112" s="38">
        <f>IMABS(IMDIV(D112,IMSUB(COMPLEX(1,0),IMPRODUCT(COMPLEX(Ported!C$18,0),IMPRODUCT(C112,H112)))))</f>
        <v>8.0081399991740625</v>
      </c>
      <c r="U112" s="21">
        <f>20*LOG10(Ported!C$29*50000*IMABS(N112))</f>
        <v>104.2036828273383</v>
      </c>
      <c r="V112" s="22">
        <f>20*LOG10(Ported!C$29*50000*IMABS(P112))</f>
        <v>83.72122622704839</v>
      </c>
      <c r="W112" s="22">
        <f>20*LOG10(Ported!C$29*50000*IMABS(R112))</f>
        <v>77.448843767608182</v>
      </c>
      <c r="X112" s="28">
        <f>1000*Ported!C$29*IMABS(H112)</f>
        <v>1.8406000093342321</v>
      </c>
      <c r="Y112" s="28">
        <f>1000*Ported!C$29*IMABS(J112)</f>
        <v>1.0104092270531024</v>
      </c>
      <c r="Z112" s="28">
        <f>Ported!C$29*IMABS(IMPRODUCT(C112,J112))</f>
        <v>0.64755601778519101</v>
      </c>
      <c r="AA112" s="28">
        <f>1000*Ported!C$29*IMABS(L112)</f>
        <v>0.4907701959972115</v>
      </c>
      <c r="AB112" s="41" t="str">
        <f t="shared" si="17"/>
        <v>0.0814790672874179+0.0804007892327456i</v>
      </c>
      <c r="AC112" s="28">
        <f>20*LOG10(Ported!C$29*50000*IMABS(AB112))</f>
        <v>104.98038290873859</v>
      </c>
      <c r="AD112" s="28">
        <f t="shared" si="18"/>
        <v>177426.76959791192</v>
      </c>
      <c r="AE112" s="23">
        <f t="shared" si="19"/>
        <v>44.618359755701874</v>
      </c>
      <c r="AG112" s="64"/>
    </row>
    <row r="113" spans="2:47" x14ac:dyDescent="0.25">
      <c r="B113" s="25">
        <v>105</v>
      </c>
      <c r="C113" s="17" t="str">
        <f t="shared" si="10"/>
        <v>659.734457253857i</v>
      </c>
      <c r="D113" s="18" t="str">
        <f>COMPLEX(Ported!C$19,2*PI()*B113*Ported!C$20)</f>
        <v>6</v>
      </c>
      <c r="E113" s="19" t="str">
        <f>IMSUB(COMPLEX(1,0),IMDIV(COMPLEX(Ported!C$41,0),IMSUM(COMPLEX(Ported!C$41,0),IMPRODUCT(C113,COMPLEX(Ported!C$42,0)))))</f>
        <v>0.998336798336798+0.0407484407484408i</v>
      </c>
      <c r="F113" s="19" t="str">
        <f>IMDIV(IMPRODUCT(C113,COMPLEX((Ported!C$42*Ported!C$14/Ported!C$24),0)),IMSUM(COMPLEX(Ported!C$41,0),IMPRODUCT(C113,COMPLEX(Ported!C$42,0))))</f>
        <v>5.79345706806848+0.236467635431367i</v>
      </c>
      <c r="G113" s="30" t="str">
        <f>IMPRODUCT(F113,IMSUB(COMPLEX(1,0),IMDIV(IMPRODUCT(COMPLEX(Ported!C$41,0),E113),IMSUM(COMPLEX(0-(2*PI()*B113)^2*Ported!C$38,0),IMPRODUCT(C113,COMPLEX(0,0)),IMPRODUCT(COMPLEX(Ported!C$41,0),E113)))))</f>
        <v>6.30648345109896+0.280288153382177i</v>
      </c>
      <c r="H113" s="32" t="str">
        <f>IMDIV(COMPLEX(Ported!C$18,0),IMPRODUCT(D113,IMSUM(COMPLEX(Ported!C$16-(2*PI()*B113)^2*Ported!C$15,0),IMPRODUCT(C113,IMSUM(COMPLEX(Ported!C$17,0),IMDIV(COMPLEX(Ported!C$18^2,0),D113))),IMPRODUCT(COMPLEX(Ported!C$14*Ported!C$41/Ported!C$24,0),G113))))</f>
        <v>-0.0000426597092621913-0.0000367799314288719i</v>
      </c>
      <c r="I113" s="27">
        <f t="shared" si="11"/>
        <v>-139.23306645390826</v>
      </c>
      <c r="J113" s="20" t="str">
        <f>IMPRODUCT(IMDIV(IMPRODUCT(COMPLEX(-Ported!C$41,0),F113),IMSUM(IMPRODUCT(COMPLEX(Ported!C$41,0),E113),COMPLEX(Calculations!C$3-(2*PI()*B113)^2*Ported!C$38,0),IMPRODUCT(COMPLEX(Calculations!C$4,0),C113))),H113)</f>
        <v>-0.0000211203078717537-0.0000199109420425843i</v>
      </c>
      <c r="K113" s="27">
        <f t="shared" si="12"/>
        <v>-136.68826207409512</v>
      </c>
      <c r="L113" s="40" t="str">
        <f>IMSUM(IMPRODUCT(COMPLEX(-(Ported!C$14/Ported!C$24),0),H113),IMDIV(IMPRODUCT(COMPLEX(-Ported!C$41,0),J113),IMSUM(COMPLEX(Ported!C$41,0),IMPRODUCT(COMPLEX(Ported!C$42,0),C113))),IMDIV(IMPRODUCT(COMPLEX(Ported!C$42*Ported!C$14/Ported!C$24,0),C113,H113),IMSUM(COMPLEX(Ported!C$41,0),IMPRODUCT(COMPLEX(Ported!C$42,0),C113))))</f>
        <v>9.95547102129149E-06-0.0000105601539358778i</v>
      </c>
      <c r="M113" s="28">
        <f t="shared" si="13"/>
        <v>-46.688262074099576</v>
      </c>
      <c r="N113" s="39" t="str">
        <f>IMPRODUCT(COMPLEX((Ported!C$10*Ported!C$14)/(2*PI()),0),C113,C113,H113)</f>
        <v>0.0796986312837457+0.0687137874188254i</v>
      </c>
      <c r="O113" s="28">
        <f t="shared" si="14"/>
        <v>40.766933546091714</v>
      </c>
      <c r="P113" s="26" t="str">
        <f>IMPRODUCT(COMPLEX((Ported!C$10*Ported!C$24)/(2*PI()),0),C113,C113,J113)</f>
        <v>0.00679942993185003+0.00641008910086677i</v>
      </c>
      <c r="Q113" s="23">
        <f t="shared" si="15"/>
        <v>43.311737925904929</v>
      </c>
      <c r="R113" s="41" t="str">
        <f>IMPRODUCT(COMPLEX((Ported!C$10*Ported!C$24)/(2*PI()),0),C113,C113,L113)</f>
        <v>-0.00320504455043317+0.00339971496592532i</v>
      </c>
      <c r="S113" s="33">
        <f t="shared" si="16"/>
        <v>133.31173792590047</v>
      </c>
      <c r="T113" s="38">
        <f>IMABS(IMDIV(D113,IMSUB(COMPLEX(1,0),IMPRODUCT(COMPLEX(Ported!C$18,0),IMPRODUCT(C113,H113)))))</f>
        <v>7.8649496066157347</v>
      </c>
      <c r="U113" s="21">
        <f>20*LOG10(Ported!C$29*50000*IMABS(N113))</f>
        <v>104.24946596755706</v>
      </c>
      <c r="V113" s="22">
        <f>20*LOG10(Ported!C$29*50000*IMABS(P113))</f>
        <v>83.217845323782939</v>
      </c>
      <c r="W113" s="22">
        <f>20*LOG10(Ported!C$29*50000*IMABS(R113))</f>
        <v>77.197245410503442</v>
      </c>
      <c r="X113" s="28">
        <f>1000*Ported!C$29*IMABS(H113)</f>
        <v>1.7461048646594992</v>
      </c>
      <c r="Y113" s="28">
        <f>1000*Ported!C$29*IMABS(J113)</f>
        <v>0.89980831843987796</v>
      </c>
      <c r="Z113" s="28">
        <f>Ported!C$29*IMABS(IMPRODUCT(C113,J113))</f>
        <v>0.59363455259843967</v>
      </c>
      <c r="AA113" s="28">
        <f>1000*Ported!C$29*IMABS(L113)</f>
        <v>0.44990415921994636</v>
      </c>
      <c r="AB113" s="41" t="str">
        <f t="shared" si="17"/>
        <v>0.0832930166651625+0.0785235914856175i</v>
      </c>
      <c r="AC113" s="28">
        <f>20*LOG10(Ported!C$29*50000*IMABS(AB113))</f>
        <v>104.98056709779391</v>
      </c>
      <c r="AD113" s="28">
        <f t="shared" si="18"/>
        <v>177430.53206979964</v>
      </c>
      <c r="AE113" s="23">
        <f t="shared" si="19"/>
        <v>43.3117379259049</v>
      </c>
      <c r="AG113" s="64"/>
    </row>
    <row r="114" spans="2:47" x14ac:dyDescent="0.25">
      <c r="B114" s="25">
        <v>107</v>
      </c>
      <c r="C114" s="17" t="str">
        <f t="shared" si="10"/>
        <v>672.300827868216i</v>
      </c>
      <c r="D114" s="18" t="str">
        <f>COMPLEX(Ported!C$19,2*PI()*B114*Ported!C$20)</f>
        <v>6</v>
      </c>
      <c r="E114" s="19" t="str">
        <f>IMSUB(COMPLEX(1,0),IMDIV(COMPLEX(Ported!C$41,0),IMSUM(COMPLEX(Ported!C$41,0),IMPRODUCT(C114,COMPLEX(Ported!C$42,0)))))</f>
        <v>0.998398294361462+0.0399892507754925i</v>
      </c>
      <c r="F114" s="19" t="str">
        <f>IMDIV(IMPRODUCT(C114,COMPLEX((Ported!C$42*Ported!C$14/Ported!C$24),0)),IMSUM(COMPLEX(Ported!C$41,0),IMPRODUCT(C114,COMPLEX(Ported!C$42,0))))</f>
        <v>5.79381393619087+0.232061973412185i</v>
      </c>
      <c r="G114" s="30" t="str">
        <f>IMPRODUCT(F114,IMSUB(COMPLEX(1,0),IMDIV(IMPRODUCT(COMPLEX(Ported!C$41,0),E114),IMSUM(COMPLEX(0-(2*PI()*B114)^2*Ported!C$38,0),IMPRODUCT(C114,COMPLEX(0,0)),IMPRODUCT(COMPLEX(Ported!C$41,0),E114)))))</f>
        <v>6.28632843851049+0.273270510239545i</v>
      </c>
      <c r="H114" s="32" t="str">
        <f>IMDIV(COMPLEX(Ported!C$18,0),IMPRODUCT(D114,IMSUM(COMPLEX(Ported!C$16-(2*PI()*B114)^2*Ported!C$15,0),IMPRODUCT(C114,IMSUM(COMPLEX(Ported!C$17,0),IMDIV(COMPLEX(Ported!C$18^2,0),D114))),IMPRODUCT(COMPLEX(Ported!C$14*Ported!C$41/Ported!C$24,0),G114))))</f>
        <v>-0.0000416895640610977-0.0000349740156062416i</v>
      </c>
      <c r="I114" s="27">
        <f t="shared" si="11"/>
        <v>-140.00619625718446</v>
      </c>
      <c r="J114" s="20" t="str">
        <f>IMPRODUCT(IMDIV(IMPRODUCT(COMPLEX(-Ported!C$41,0),F114),IMSUM(IMPRODUCT(COMPLEX(Ported!C$41,0),E114),COMPLEX(Calculations!C$3-(2*PI()*B114)^2*Ported!C$38,0),IMPRODUCT(COMPLEX(Calculations!C$4,0),C114))),H114)</f>
        <v>-0.0000198502255699961-0.0000181784967788767i</v>
      </c>
      <c r="K114" s="27">
        <f t="shared" si="12"/>
        <v>-137.51708106765557</v>
      </c>
      <c r="L114" s="40" t="str">
        <f>IMSUM(IMPRODUCT(COMPLEX(-(Ported!C$14/Ported!C$24),0),H114),IMDIV(IMPRODUCT(COMPLEX(-Ported!C$41,0),J114),IMSUM(COMPLEX(Ported!C$41,0),IMPRODUCT(COMPLEX(Ported!C$42,0),C114))),IMDIV(IMPRODUCT(COMPLEX(Ported!C$42*Ported!C$14/Ported!C$24,0),C114,H114),IMSUM(COMPLEX(Ported!C$41,0),IMPRODUCT(COMPLEX(Ported!C$42,0),C114))))</f>
        <v>0.0000092623769301897-0.0000101141625523318i</v>
      </c>
      <c r="M114" s="28">
        <f t="shared" si="13"/>
        <v>-47.517081067656413</v>
      </c>
      <c r="N114" s="39" t="str">
        <f>IMPRODUCT(COMPLEX((Ported!C$10*Ported!C$14)/(2*PI()),0),C114,C114,H114)</f>
        <v>0.080881515993697+0.0678527460367394i</v>
      </c>
      <c r="O114" s="28">
        <f t="shared" si="14"/>
        <v>39.993803742815558</v>
      </c>
      <c r="P114" s="26" t="str">
        <f>IMPRODUCT(COMPLEX((Ported!C$10*Ported!C$24)/(2*PI()),0),C114,C114,J114)</f>
        <v>0.00663630994958442+0.00607741905081895i</v>
      </c>
      <c r="Q114" s="23">
        <f t="shared" si="15"/>
        <v>42.482918932344433</v>
      </c>
      <c r="R114" s="41" t="str">
        <f>IMPRODUCT(COMPLEX((Ported!C$10*Ported!C$24)/(2*PI()),0),C114,C114,L114)</f>
        <v>-0.00309658970684589+0.00338135792669317i</v>
      </c>
      <c r="S114" s="33">
        <f t="shared" si="16"/>
        <v>132.48291893234352</v>
      </c>
      <c r="T114" s="38">
        <f>IMABS(IMDIV(D114,IMSUB(COMPLEX(1,0),IMPRODUCT(COMPLEX(Ported!C$18,0),IMPRODUCT(C114,H114)))))</f>
        <v>7.7783478446332053</v>
      </c>
      <c r="U114" s="21">
        <f>20*LOG10(Ported!C$29*50000*IMABS(N114))</f>
        <v>104.27775217832476</v>
      </c>
      <c r="V114" s="22">
        <f>20*LOG10(Ported!C$29*50000*IMABS(P114))</f>
        <v>82.890177429801426</v>
      </c>
      <c r="W114" s="22">
        <f>20*LOG10(Ported!C$29*50000*IMABS(R114))</f>
        <v>77.033467088827507</v>
      </c>
      <c r="X114" s="28">
        <f>1000*Ported!C$29*IMABS(H114)</f>
        <v>1.6869246159742974</v>
      </c>
      <c r="Y114" s="28">
        <f>1000*Ported!C$29*IMABS(J114)</f>
        <v>0.83440644862495084</v>
      </c>
      <c r="Z114" s="28">
        <f>Ported!C$29*IMABS(IMPRODUCT(C114,J114))</f>
        <v>0.56097214618913216</v>
      </c>
      <c r="AA114" s="28">
        <f>1000*Ported!C$29*IMABS(L114)</f>
        <v>0.42514995239463116</v>
      </c>
      <c r="AB114" s="41" t="str">
        <f t="shared" si="17"/>
        <v>0.0844212362364355+0.0773115230142515i</v>
      </c>
      <c r="AC114" s="28">
        <f>20*LOG10(Ported!C$29*50000*IMABS(AB114))</f>
        <v>104.98067834842331</v>
      </c>
      <c r="AD114" s="28">
        <f t="shared" si="18"/>
        <v>177432.80465045664</v>
      </c>
      <c r="AE114" s="23">
        <f t="shared" si="19"/>
        <v>42.482918932344525</v>
      </c>
      <c r="AG114" s="64"/>
    </row>
    <row r="115" spans="2:47" x14ac:dyDescent="0.25">
      <c r="B115" s="25">
        <v>110</v>
      </c>
      <c r="C115" s="17" t="str">
        <f t="shared" si="10"/>
        <v>691.150383789755i</v>
      </c>
      <c r="D115" s="18" t="str">
        <f>COMPLEX(Ported!C$19,2*PI()*B115*Ported!C$20)</f>
        <v>6</v>
      </c>
      <c r="E115" s="19" t="str">
        <f>IMSUB(COMPLEX(1,0),IMDIV(COMPLEX(Ported!C$41,0),IMSUM(COMPLEX(Ported!C$41,0),IMPRODUCT(C115,COMPLEX(Ported!C$42,0)))))</f>
        <v>0.998484338160997+0.0389019872010778i</v>
      </c>
      <c r="F115" s="19" t="str">
        <f>IMDIV(IMPRODUCT(C115,COMPLEX((Ported!C$42*Ported!C$14/Ported!C$24),0)),IMSUM(COMPLEX(Ported!C$41,0),IMPRODUCT(C115,COMPLEX(Ported!C$42,0))))</f>
        <v>5.79431325772186+0.225752464586566i</v>
      </c>
      <c r="G115" s="30" t="str">
        <f>IMPRODUCT(F115,IMSUB(COMPLEX(1,0),IMDIV(IMPRODUCT(COMPLEX(Ported!C$41,0),E115),IMSUM(COMPLEX(0-(2*PI()*B115)^2*Ported!C$38,0),IMPRODUCT(C115,COMPLEX(0,0)),IMPRODUCT(COMPLEX(Ported!C$41,0),E115)))))</f>
        <v>6.25834200509543+0.263425109908354i</v>
      </c>
      <c r="H115" s="32" t="str">
        <f>IMDIV(COMPLEX(Ported!C$18,0),IMPRODUCT(D115,IMSUM(COMPLEX(Ported!C$16-(2*PI()*B115)^2*Ported!C$15,0),IMPRODUCT(C115,IMSUM(COMPLEX(Ported!C$17,0),IMDIV(COMPLEX(Ported!C$18^2,0),D115))),IMPRODUCT(COMPLEX(Ported!C$14*Ported!C$41/Ported!C$24,0),G115))))</f>
        <v>-0.0000402602043024587-0.0000324719385734648i</v>
      </c>
      <c r="I115" s="27">
        <f t="shared" si="11"/>
        <v>-141.11202698021941</v>
      </c>
      <c r="J115" s="20" t="str">
        <f>IMPRODUCT(IMDIV(IMPRODUCT(COMPLEX(-Ported!C$41,0),F115),IMSUM(IMPRODUCT(COMPLEX(Ported!C$41,0),E115),COMPLEX(Calculations!C$3-(2*PI()*B115)^2*Ported!C$38,0),IMPRODUCT(COMPLEX(Calculations!C$4,0),C115))),H115)</f>
        <v>-0.0000181047424263581-0.0000159044166375249i</v>
      </c>
      <c r="K115" s="27">
        <f t="shared" si="12"/>
        <v>-138.70176515002245</v>
      </c>
      <c r="L115" s="40" t="str">
        <f>IMSUM(IMPRODUCT(COMPLEX(-(Ported!C$14/Ported!C$24),0),H115),IMDIV(IMPRODUCT(COMPLEX(-Ported!C$41,0),J115),IMSUM(COMPLEX(Ported!C$41,0),IMPRODUCT(COMPLEX(Ported!C$42,0),C115))),IMDIV(IMPRODUCT(COMPLEX(Ported!C$42*Ported!C$14/Ported!C$24,0),C115,H115),IMSUM(COMPLEX(Ported!C$41,0),IMPRODUCT(COMPLEX(Ported!C$42,0),C115))))</f>
        <v>8.33088490537022E-06-9.48343650904488E-06i</v>
      </c>
      <c r="M115" s="28">
        <f t="shared" si="13"/>
        <v>-48.701765150022815</v>
      </c>
      <c r="N115" s="39" t="str">
        <f>IMPRODUCT(COMPLEX((Ported!C$10*Ported!C$14)/(2*PI()),0),C115,C115,H115)</f>
        <v>0.0825497416343313+0.0665806392701711i</v>
      </c>
      <c r="O115" s="28">
        <f t="shared" si="14"/>
        <v>38.887973019780546</v>
      </c>
      <c r="P115" s="26" t="str">
        <f>IMPRODUCT(COMPLEX((Ported!C$10*Ported!C$24)/(2*PI()),0),C115,C115,J115)</f>
        <v>0.00639692679560567+0.0056194883396375i</v>
      </c>
      <c r="Q115" s="23">
        <f t="shared" si="15"/>
        <v>41.298234849977561</v>
      </c>
      <c r="R115" s="41" t="str">
        <f>IMPRODUCT(COMPLEX((Ported!C$10*Ported!C$24)/(2*PI()),0),C115,C115,L115)</f>
        <v>-0.0029435415112387+0.00335077117865065i</v>
      </c>
      <c r="S115" s="33">
        <f t="shared" si="16"/>
        <v>131.29823484997712</v>
      </c>
      <c r="T115" s="38">
        <f>IMABS(IMDIV(D115,IMSUB(COMPLEX(1,0),IMPRODUCT(COMPLEX(Ported!C$18,0),IMPRODUCT(C115,H115)))))</f>
        <v>7.6599690416351445</v>
      </c>
      <c r="U115" s="21">
        <f>20*LOG10(Ported!C$29*50000*IMABS(N115))</f>
        <v>104.31717134300837</v>
      </c>
      <c r="V115" s="22">
        <f>20*LOG10(Ported!C$29*50000*IMABS(P115))</f>
        <v>82.409973392599568</v>
      </c>
      <c r="W115" s="22">
        <f>20*LOG10(Ported!C$29*50000*IMABS(R115))</f>
        <v>76.793441201085784</v>
      </c>
      <c r="X115" s="28">
        <f>1000*Ported!C$29*IMABS(H115)</f>
        <v>1.6034256210476356</v>
      </c>
      <c r="Y115" s="28">
        <f>1000*Ported!C$29*IMABS(J115)</f>
        <v>0.74704993969310018</v>
      </c>
      <c r="Z115" s="28">
        <f>Ported!C$29*IMABS(IMPRODUCT(C115,J115))</f>
        <v>0.51632385252900037</v>
      </c>
      <c r="AA115" s="28">
        <f>1000*Ported!C$29*IMABS(L115)</f>
        <v>0.39131187317258076</v>
      </c>
      <c r="AB115" s="41" t="str">
        <f t="shared" si="17"/>
        <v>0.0860031269186983+0.0755508987884593i</v>
      </c>
      <c r="AC115" s="28">
        <f>20*LOG10(Ported!C$29*50000*IMABS(AB115))</f>
        <v>104.98083061014205</v>
      </c>
      <c r="AD115" s="28">
        <f t="shared" si="18"/>
        <v>177435.91503542772</v>
      </c>
      <c r="AE115" s="23">
        <f t="shared" si="19"/>
        <v>41.298234849977455</v>
      </c>
      <c r="AG115" s="64"/>
      <c r="AI115" s="1"/>
      <c r="AJ115" s="1"/>
      <c r="AK115" s="2"/>
      <c r="AL115" s="2"/>
      <c r="AM115" s="2"/>
      <c r="AN115" s="2"/>
      <c r="AO115" s="2"/>
      <c r="AP115" s="2"/>
      <c r="AQ115" s="3"/>
      <c r="AR115" s="3"/>
      <c r="AS115" s="2"/>
      <c r="AT115" s="8"/>
      <c r="AU115" s="8"/>
    </row>
    <row r="116" spans="2:47" x14ac:dyDescent="0.25">
      <c r="B116" s="25">
        <v>112</v>
      </c>
      <c r="C116" s="17" t="str">
        <f t="shared" si="10"/>
        <v>703.716754404114i</v>
      </c>
      <c r="D116" s="18" t="str">
        <f>COMPLEX(Ported!C$19,2*PI()*B116*Ported!C$20)</f>
        <v>6</v>
      </c>
      <c r="E116" s="19" t="str">
        <f>IMSUB(COMPLEX(1,0),IMDIV(COMPLEX(Ported!C$41,0),IMSUM(COMPLEX(Ported!C$41,0),IMPRODUCT(C116,COMPLEX(Ported!C$42,0)))))</f>
        <v>0.998537907192847+0.038209358693604i</v>
      </c>
      <c r="F116" s="19" t="str">
        <f>IMDIV(IMPRODUCT(C116,COMPLEX((Ported!C$42*Ported!C$14/Ported!C$24),0)),IMSUM(COMPLEX(Ported!C$41,0),IMPRODUCT(C116,COMPLEX(Ported!C$42,0))))</f>
        <v>5.79462412464245+0.221733065993972i</v>
      </c>
      <c r="G116" s="30" t="str">
        <f>IMPRODUCT(F116,IMSUB(COMPLEX(1,0),IMDIV(IMPRODUCT(COMPLEX(Ported!C$41,0),E116),IMSUM(COMPLEX(0-(2*PI()*B116)^2*Ported!C$38,0),IMPRODUCT(C116,COMPLEX(0,0)),IMPRODUCT(COMPLEX(Ported!C$41,0),E116)))))</f>
        <v>6.241043050512+0.257274189646665i</v>
      </c>
      <c r="H116" s="32" t="str">
        <f>IMDIV(COMPLEX(Ported!C$18,0),IMPRODUCT(D116,IMSUM(COMPLEX(Ported!C$16-(2*PI()*B116)^2*Ported!C$15,0),IMPRODUCT(C116,IMSUM(COMPLEX(Ported!C$17,0),IMDIV(COMPLEX(Ported!C$18^2,0),D116))),IMPRODUCT(COMPLEX(Ported!C$14*Ported!C$41/Ported!C$24,0),G116))))</f>
        <v>-0.0000393274410880783-0.0000309302557585743i</v>
      </c>
      <c r="I116" s="27">
        <f t="shared" si="11"/>
        <v>-141.81564857069714</v>
      </c>
      <c r="J116" s="20" t="str">
        <f>IMPRODUCT(IMDIV(IMPRODUCT(COMPLEX(-Ported!C$41,0),F116),IMSUM(IMPRODUCT(COMPLEX(Ported!C$41,0),E116),COMPLEX(Calculations!C$3-(2*PI()*B116)^2*Ported!C$38,0),IMPRODUCT(COMPLEX(Calculations!C$4,0),C116))),H116)</f>
        <v>-0.000017039064634103-0.000014575852515982i</v>
      </c>
      <c r="K116" s="27">
        <f t="shared" si="12"/>
        <v>-139.45508418492349</v>
      </c>
      <c r="L116" s="40" t="str">
        <f>IMSUM(IMPRODUCT(COMPLEX(-(Ported!C$14/Ported!C$24),0),H116),IMDIV(IMPRODUCT(COMPLEX(-Ported!C$41,0),J116),IMSUM(COMPLEX(Ported!C$41,0),IMPRODUCT(COMPLEX(Ported!C$42,0),C116))),IMDIV(IMPRODUCT(COMPLEX(Ported!C$42*Ported!C$14/Ported!C$24,0),C116,H116),IMSUM(COMPLEX(Ported!C$41,0),IMPRODUCT(COMPLEX(Ported!C$42,0),C116))))</f>
        <v>7.77378800852335E-06-9.08750113818817E-06i</v>
      </c>
      <c r="M116" s="28">
        <f t="shared" si="13"/>
        <v>-49.455084184924594</v>
      </c>
      <c r="N116" s="39" t="str">
        <f>IMPRODUCT(COMPLEX((Ported!C$10*Ported!C$14)/(2*PI()),0),C116,C116,H116)</f>
        <v>0.0835961175742956+0.0657466955758945i</v>
      </c>
      <c r="O116" s="28">
        <f t="shared" si="14"/>
        <v>38.184351429302843</v>
      </c>
      <c r="P116" s="26" t="str">
        <f>IMPRODUCT(COMPLEX((Ported!C$10*Ported!C$24)/(2*PI()),0),C116,C116,J116)</f>
        <v>0.00624130571024298+0.00533904609749414i</v>
      </c>
      <c r="Q116" s="23">
        <f t="shared" si="15"/>
        <v>40.544915815076529</v>
      </c>
      <c r="R116" s="41" t="str">
        <f>IMPRODUCT(COMPLEX((Ported!C$10*Ported!C$24)/(2*PI()),0),C116,C116,L116)</f>
        <v>-0.00284749125199673+0.00332869637879622i</v>
      </c>
      <c r="S116" s="33">
        <f t="shared" si="16"/>
        <v>130.5449158150754</v>
      </c>
      <c r="T116" s="38">
        <f>IMABS(IMDIV(D116,IMSUB(COMPLEX(1,0),IMPRODUCT(COMPLEX(Ported!C$18,0),IMPRODUCT(C116,H116)))))</f>
        <v>7.5878650457112959</v>
      </c>
      <c r="U116" s="21">
        <f>20*LOG10(Ported!C$29*50000*IMABS(N116))</f>
        <v>104.34162050921258</v>
      </c>
      <c r="V116" s="22">
        <f>20*LOG10(Ported!C$29*50000*IMABS(P116))</f>
        <v>82.097052923707921</v>
      </c>
      <c r="W116" s="22">
        <f>20*LOG10(Ported!C$29*50000*IMABS(R116))</f>
        <v>76.637027482432927</v>
      </c>
      <c r="X116" s="28">
        <f>1000*Ported!C$29*IMABS(H116)</f>
        <v>1.5510314434007557</v>
      </c>
      <c r="Y116" s="28">
        <f>1000*Ported!C$29*IMABS(J116)</f>
        <v>0.69510903991104822</v>
      </c>
      <c r="Z116" s="28">
        <f>Ported!C$29*IMABS(IMPRODUCT(C116,J116))</f>
        <v>0.48915987752316314</v>
      </c>
      <c r="AA116" s="28">
        <f>1000*Ported!C$29*IMABS(L116)</f>
        <v>0.37072482128588236</v>
      </c>
      <c r="AB116" s="41" t="str">
        <f t="shared" si="17"/>
        <v>0.0869899320325418+0.0744144380521849i</v>
      </c>
      <c r="AC116" s="28">
        <f>20*LOG10(Ported!C$29*50000*IMABS(AB116))</f>
        <v>104.98092364172865</v>
      </c>
      <c r="AD116" s="28">
        <f t="shared" si="18"/>
        <v>177437.8155008707</v>
      </c>
      <c r="AE116" s="23">
        <f t="shared" si="19"/>
        <v>40.544915815076614</v>
      </c>
      <c r="AG116" s="64"/>
      <c r="AI116" s="1"/>
      <c r="AJ116" s="1"/>
      <c r="AK116" s="2"/>
      <c r="AL116" s="2"/>
      <c r="AM116" s="2"/>
      <c r="AN116" s="2"/>
      <c r="AO116" s="2"/>
      <c r="AP116" s="2"/>
      <c r="AQ116" s="3"/>
      <c r="AR116" s="3"/>
      <c r="AS116" s="2"/>
      <c r="AT116" s="8"/>
      <c r="AU116" s="8"/>
    </row>
    <row r="117" spans="2:47" x14ac:dyDescent="0.25">
      <c r="B117" s="25">
        <v>115</v>
      </c>
      <c r="C117" s="17" t="str">
        <f t="shared" si="10"/>
        <v>722.566310325652i</v>
      </c>
      <c r="D117" s="18" t="str">
        <f>COMPLEX(Ported!C$19,2*PI()*B117*Ported!C$20)</f>
        <v>6</v>
      </c>
      <c r="E117" s="19" t="str">
        <f>IMSUB(COMPLEX(1,0),IMDIV(COMPLEX(Ported!C$41,0),IMSUM(COMPLEX(Ported!C$41,0),IMPRODUCT(C117,COMPLEX(Ported!C$42,0)))))</f>
        <v>0.998613090881073+0.0372153946912202i</v>
      </c>
      <c r="F117" s="19" t="str">
        <f>IMDIV(IMPRODUCT(C117,COMPLEX((Ported!C$42*Ported!C$14/Ported!C$24),0)),IMSUM(COMPLEX(Ported!C$41,0),IMPRODUCT(C117,COMPLEX(Ported!C$42,0))))</f>
        <v>5.79506042376581+0.215964984736615i</v>
      </c>
      <c r="G117" s="30" t="str">
        <f>IMPRODUCT(F117,IMSUB(COMPLEX(1,0),IMDIV(IMPRODUCT(COMPLEX(Ported!C$41,0),E117),IMSUM(COMPLEX(0-(2*PI()*B117)^2*Ported!C$38,0),IMPRODUCT(C117,COMPLEX(0,0)),IMPRODUCT(COMPLEX(Ported!C$41,0),E117)))))</f>
        <v>6.21692391807205+0.248604897332352i</v>
      </c>
      <c r="H117" s="32" t="str">
        <f>IMDIV(COMPLEX(Ported!C$18,0),IMPRODUCT(D117,IMSUM(COMPLEX(Ported!C$16-(2*PI()*B117)^2*Ported!C$15,0),IMPRODUCT(C117,IMSUM(COMPLEX(Ported!C$17,0),IMDIV(COMPLEX(Ported!C$18^2,0),D117))),IMPRODUCT(COMPLEX(Ported!C$14*Ported!C$41/Ported!C$24,0),G117))))</f>
        <v>-0.0000379621520481273-0.0000287894878565757i</v>
      </c>
      <c r="I117" s="27">
        <f t="shared" si="11"/>
        <v>-142.82428623037021</v>
      </c>
      <c r="J117" s="20" t="str">
        <f>IMPRODUCT(IMDIV(IMPRODUCT(COMPLEX(-Ported!C$41,0),F117),IMSUM(IMPRODUCT(COMPLEX(Ported!C$41,0),E117),COMPLEX(Calculations!C$3-(2*PI()*B117)^2*Ported!C$38,0),IMPRODUCT(COMPLEX(Calculations!C$4,0),C117))),H117)</f>
        <v>-0.0000155739541050276-0.0000128225080757147i</v>
      </c>
      <c r="K117" s="27">
        <f t="shared" si="12"/>
        <v>-140.53433923356408</v>
      </c>
      <c r="L117" s="40" t="str">
        <f>IMSUM(IMPRODUCT(COMPLEX(-(Ported!C$14/Ported!C$24),0),H117),IMDIV(IMPRODUCT(COMPLEX(-Ported!C$41,0),J117),IMSUM(COMPLEX(Ported!C$41,0),IMPRODUCT(COMPLEX(Ported!C$42,0),C117))),IMDIV(IMPRODUCT(COMPLEX(Ported!C$42*Ported!C$14/Ported!C$24,0),C117,H117),IMSUM(COMPLEX(Ported!C$41,0),IMPRODUCT(COMPLEX(Ported!C$42,0),C117))))</f>
        <v>7.02184966051009E-06-8.52859391465782E-06i</v>
      </c>
      <c r="M117" s="28">
        <f t="shared" si="13"/>
        <v>-50.534339233564943</v>
      </c>
      <c r="N117" s="39" t="str">
        <f>IMPRODUCT(COMPLEX((Ported!C$10*Ported!C$14)/(2*PI()),0),C117,C117,H117)</f>
        <v>0.0850747886049485+0.0645184601320234i</v>
      </c>
      <c r="O117" s="28">
        <f t="shared" si="14"/>
        <v>37.175713769629809</v>
      </c>
      <c r="P117" s="26" t="str">
        <f>IMPRODUCT(COMPLEX((Ported!C$10*Ported!C$24)/(2*PI()),0),C117,C117,J117)</f>
        <v>0.00601434353684153+0.00495179117976066i</v>
      </c>
      <c r="Q117" s="23">
        <f t="shared" si="15"/>
        <v>39.465660766435924</v>
      </c>
      <c r="R117" s="41" t="str">
        <f>IMPRODUCT(COMPLEX((Ported!C$10*Ported!C$24)/(2*PI()),0),C117,C117,L117)</f>
        <v>-0.0027116951698688+0.00329356907969888i</v>
      </c>
      <c r="S117" s="33">
        <f t="shared" si="16"/>
        <v>129.46566076643498</v>
      </c>
      <c r="T117" s="38">
        <f>IMABS(IMDIV(D117,IMSUB(COMPLEX(1,0),IMPRODUCT(COMPLEX(Ported!C$18,0),IMPRODUCT(C117,H117)))))</f>
        <v>7.4886685323977709</v>
      </c>
      <c r="U117" s="21">
        <f>20*LOG10(Ported!C$29*50000*IMABS(N117))</f>
        <v>104.37581632654697</v>
      </c>
      <c r="V117" s="22">
        <f>20*LOG10(Ported!C$29*50000*IMABS(P117))</f>
        <v>81.637988817742283</v>
      </c>
      <c r="W117" s="22">
        <f>20*LOG10(Ported!C$29*50000*IMABS(R117))</f>
        <v>76.407559730135887</v>
      </c>
      <c r="X117" s="28">
        <f>1000*Ported!C$29*IMABS(H117)</f>
        <v>1.4769668834477849</v>
      </c>
      <c r="Y117" s="28">
        <f>1000*Ported!C$29*IMABS(J117)</f>
        <v>0.62537439521010219</v>
      </c>
      <c r="Z117" s="28">
        <f>Ported!C$29*IMABS(IMPRODUCT(C117,J117))</f>
        <v>0.45187446931909886</v>
      </c>
      <c r="AA117" s="28">
        <f>1000*Ported!C$29*IMABS(L117)</f>
        <v>0.34246693071028372</v>
      </c>
      <c r="AB117" s="41" t="str">
        <f t="shared" si="17"/>
        <v>0.0883774369719212+0.072763820391483i</v>
      </c>
      <c r="AC117" s="28">
        <f>20*LOG10(Ported!C$29*50000*IMABS(AB117))</f>
        <v>104.98105224310025</v>
      </c>
      <c r="AD117" s="28">
        <f t="shared" si="18"/>
        <v>177440.44262558955</v>
      </c>
      <c r="AE117" s="23">
        <f t="shared" si="19"/>
        <v>39.46566076643596</v>
      </c>
      <c r="AG117" s="64"/>
      <c r="AH117" s="1"/>
      <c r="AI117" s="1"/>
      <c r="AJ117" s="1"/>
      <c r="AK117" s="2"/>
      <c r="AL117" s="2"/>
      <c r="AM117" s="2"/>
      <c r="AN117" s="2"/>
      <c r="AO117" s="2"/>
      <c r="AP117" s="2"/>
      <c r="AQ117" s="3"/>
      <c r="AR117" s="3"/>
      <c r="AS117" s="2"/>
      <c r="AT117" s="8"/>
      <c r="AU117" s="8"/>
    </row>
    <row r="118" spans="2:47" x14ac:dyDescent="0.25">
      <c r="B118" s="25">
        <v>117</v>
      </c>
      <c r="C118" s="17" t="str">
        <f t="shared" si="10"/>
        <v>735.132680940012i</v>
      </c>
      <c r="D118" s="18" t="str">
        <f>COMPLEX(Ported!C$19,2*PI()*B118*Ported!C$20)</f>
        <v>6</v>
      </c>
      <c r="E118" s="19" t="str">
        <f>IMSUB(COMPLEX(1,0),IMDIV(COMPLEX(Ported!C$41,0),IMSUM(COMPLEX(Ported!C$41,0),IMPRODUCT(C118,COMPLEX(Ported!C$42,0)))))</f>
        <v>0.998660038322904+0.0365809537847219i</v>
      </c>
      <c r="F118" s="19" t="str">
        <f>IMDIV(IMPRODUCT(C118,COMPLEX((Ported!C$42*Ported!C$14/Ported!C$24),0)),IMSUM(COMPLEX(Ported!C$41,0),IMPRODUCT(C118,COMPLEX(Ported!C$42,0))))</f>
        <v>5.79533286487905+0.212283255123776i</v>
      </c>
      <c r="G118" s="30" t="str">
        <f>IMPRODUCT(F118,IMSUB(COMPLEX(1,0),IMDIV(IMPRODUCT(COMPLEX(Ported!C$41,0),E118),IMSUM(COMPLEX(0-(2*PI()*B118)^2*Ported!C$38,0),IMPRODUCT(C118,COMPLEX(0,0)),IMPRODUCT(COMPLEX(Ported!C$41,0),E118)))))</f>
        <v>6.20195688101511+0.243165093354369i</v>
      </c>
      <c r="H118" s="32" t="str">
        <f>IMDIV(COMPLEX(Ported!C$18,0),IMPRODUCT(D118,IMSUM(COMPLEX(Ported!C$16-(2*PI()*B118)^2*Ported!C$15,0),IMPRODUCT(C118,IMSUM(COMPLEX(Ported!C$17,0),IMDIV(COMPLEX(Ported!C$18^2,0),D118))),IMPRODUCT(COMPLEX(Ported!C$14*Ported!C$41/Ported!C$24,0),G118))))</f>
        <v>-0.0000370760226781017-0.0000274674423757916i</v>
      </c>
      <c r="I118" s="27">
        <f t="shared" si="11"/>
        <v>-143.46743095852176</v>
      </c>
      <c r="J118" s="20" t="str">
        <f>IMPRODUCT(IMDIV(IMPRODUCT(COMPLEX(-Ported!C$41,0),F118),IMSUM(IMPRODUCT(COMPLEX(Ported!C$41,0),E118),COMPLEX(Calculations!C$3-(2*PI()*B118)^2*Ported!C$38,0),IMPRODUCT(COMPLEX(Calculations!C$4,0),C118))),H118)</f>
        <v>-0.0000146788146469172-0.0000117927342381431i</v>
      </c>
      <c r="K118" s="27">
        <f t="shared" si="12"/>
        <v>-141.22213947212455</v>
      </c>
      <c r="L118" s="40" t="str">
        <f>IMSUM(IMPRODUCT(COMPLEX(-(Ported!C$14/Ported!C$24),0),H118),IMDIV(IMPRODUCT(COMPLEX(-Ported!C$41,0),J118),IMSUM(COMPLEX(Ported!C$41,0),IMPRODUCT(COMPLEX(Ported!C$42,0),C118))),IMDIV(IMPRODUCT(COMPLEX(Ported!C$42*Ported!C$14/Ported!C$24,0),C118,H118),IMSUM(COMPLEX(Ported!C$41,0),IMPRODUCT(COMPLEX(Ported!C$42,0),C118))))</f>
        <v>6.57023764696408E-06-0.0000081781967318541i</v>
      </c>
      <c r="M118" s="28">
        <f t="shared" si="13"/>
        <v>-51.22213947213114</v>
      </c>
      <c r="N118" s="39" t="str">
        <f>IMPRODUCT(COMPLEX((Ported!C$10*Ported!C$14)/(2*PI()),0),C118,C118,H118)</f>
        <v>0.0860041159908434+0.0637153861019361i</v>
      </c>
      <c r="O118" s="28">
        <f t="shared" si="14"/>
        <v>36.532569041478254</v>
      </c>
      <c r="P118" s="26" t="str">
        <f>IMPRODUCT(COMPLEX((Ported!C$10*Ported!C$24)/(2*PI()),0),C118,C118,J118)</f>
        <v>0.00586754420276846+0.00471389489398163i</v>
      </c>
      <c r="Q118" s="23">
        <f t="shared" si="15"/>
        <v>38.777860527875475</v>
      </c>
      <c r="R118" s="41" t="str">
        <f>IMPRODUCT(COMPLEX((Ported!C$10*Ported!C$24)/(2*PI()),0),C118,C118,L118)</f>
        <v>-0.00262631286950351+0.00326906034154252i</v>
      </c>
      <c r="S118" s="33">
        <f t="shared" si="16"/>
        <v>128.77786052786891</v>
      </c>
      <c r="T118" s="38">
        <f>IMABS(IMDIV(D118,IMSUB(COMPLEX(1,0),IMPRODUCT(COMPLEX(Ported!C$18,0),IMPRODUCT(C118,H118)))))</f>
        <v>7.4278813837511644</v>
      </c>
      <c r="U118" s="21">
        <f>20*LOG10(Ported!C$29*50000*IMABS(N118))</f>
        <v>104.39709987711342</v>
      </c>
      <c r="V118" s="22">
        <f>20*LOG10(Ported!C$29*50000*IMABS(P118))</f>
        <v>81.338547245563149</v>
      </c>
      <c r="W118" s="22">
        <f>20*LOG10(Ported!C$29*50000*IMABS(R118))</f>
        <v>76.257878585807447</v>
      </c>
      <c r="X118" s="28">
        <f>1000*Ported!C$29*IMABS(H118)</f>
        <v>1.4304045813024568</v>
      </c>
      <c r="Y118" s="28">
        <f>1000*Ported!C$29*IMABS(J118)</f>
        <v>0.58370306596785371</v>
      </c>
      <c r="Z118" s="28">
        <f>Ported!C$29*IMABS(IMPRODUCT(C118,J118))</f>
        <v>0.42909919975785404</v>
      </c>
      <c r="AA118" s="28">
        <f>1000*Ported!C$29*IMABS(L118)</f>
        <v>0.32520599389635479</v>
      </c>
      <c r="AB118" s="41" t="str">
        <f t="shared" si="17"/>
        <v>0.0892453473241083+0.0716983413374603i</v>
      </c>
      <c r="AC118" s="28">
        <f>20*LOG10(Ported!C$29*50000*IMABS(AB118))</f>
        <v>104.98113152662312</v>
      </c>
      <c r="AD118" s="28">
        <f t="shared" si="18"/>
        <v>177442.06228323877</v>
      </c>
      <c r="AE118" s="23">
        <f t="shared" si="19"/>
        <v>38.777860527875355</v>
      </c>
      <c r="AG118" s="64"/>
      <c r="AH118" s="1"/>
      <c r="AI118" s="1"/>
      <c r="AJ118" s="1"/>
      <c r="AK118" s="2"/>
      <c r="AL118" s="2"/>
      <c r="AM118" s="2"/>
      <c r="AN118" s="2"/>
      <c r="AO118" s="2"/>
      <c r="AP118" s="2"/>
      <c r="AQ118" s="3"/>
      <c r="AR118" s="3"/>
      <c r="AS118" s="2"/>
      <c r="AT118" s="8"/>
      <c r="AU118" s="8"/>
    </row>
    <row r="119" spans="2:47" x14ac:dyDescent="0.25">
      <c r="B119" s="25">
        <v>120</v>
      </c>
      <c r="C119" s="17" t="str">
        <f t="shared" si="10"/>
        <v>753.98223686155i</v>
      </c>
      <c r="D119" s="18" t="str">
        <f>COMPLEX(Ported!C$19,2*PI()*B119*Ported!C$20)</f>
        <v>6</v>
      </c>
      <c r="E119" s="19" t="str">
        <f>IMSUB(COMPLEX(1,0),IMDIV(COMPLEX(Ported!C$41,0),IMSUM(COMPLEX(Ported!C$41,0),IMPRODUCT(C119,COMPLEX(Ported!C$42,0)))))</f>
        <v>0.998726114649682+0.0356687898089173i</v>
      </c>
      <c r="F119" s="19" t="str">
        <f>IMDIV(IMPRODUCT(C119,COMPLEX((Ported!C$42*Ported!C$14/Ported!C$24),0)),IMSUM(COMPLEX(Ported!C$41,0),IMPRODUCT(C119,COMPLEX(Ported!C$42,0))))</f>
        <v>5.79571631299297+0.206989868321178i</v>
      </c>
      <c r="G119" s="30" t="str">
        <f>IMPRODUCT(F119,IMSUB(COMPLEX(1,0),IMDIV(IMPRODUCT(COMPLEX(Ported!C$41,0),E119),IMSUM(COMPLEX(0-(2*PI()*B119)^2*Ported!C$38,0),IMPRODUCT(C119,COMPLEX(0,0)),IMPRODUCT(COMPLEX(Ported!C$41,0),E119)))))</f>
        <v>6.18101255189678+0.235467144834164i</v>
      </c>
      <c r="H119" s="32" t="str">
        <f>IMDIV(COMPLEX(Ported!C$18,0),IMPRODUCT(D119,IMSUM(COMPLEX(Ported!C$16-(2*PI()*B119)^2*Ported!C$15,0),IMPRODUCT(C119,IMSUM(COMPLEX(Ported!C$17,0),IMDIV(COMPLEX(Ported!C$18^2,0),D119))),IMPRODUCT(COMPLEX(Ported!C$14*Ported!C$41/Ported!C$24,0),G119))))</f>
        <v>-0.0000357846259669268-0.0000256275622694808i</v>
      </c>
      <c r="I119" s="27">
        <f t="shared" si="11"/>
        <v>-144.39122938281218</v>
      </c>
      <c r="J119" s="20" t="str">
        <f>IMPRODUCT(IMDIV(IMPRODUCT(COMPLEX(-Ported!C$41,0),F119),IMSUM(IMPRODUCT(COMPLEX(Ported!C$41,0),E119),COMPLEX(Calculations!C$3-(2*PI()*B119)^2*Ported!C$38,0),IMPRODUCT(COMPLEX(Calculations!C$4,0),C119))),H119)</f>
        <v>-0.0000134469233343658-0.000010426899235473i</v>
      </c>
      <c r="K119" s="27">
        <f t="shared" si="12"/>
        <v>-142.20958797926085</v>
      </c>
      <c r="L119" s="40" t="str">
        <f>IMSUM(IMPRODUCT(COMPLEX(-(Ported!C$14/Ported!C$24),0),H119),IMDIV(IMPRODUCT(COMPLEX(-Ported!C$41,0),J119),IMSUM(COMPLEX(Ported!C$41,0),IMPRODUCT(COMPLEX(Ported!C$42,0),C119))),IMDIV(IMPRODUCT(COMPLEX(Ported!C$42*Ported!C$14/Ported!C$24,0),C119,H119),IMSUM(COMPLEX(Ported!C$41,0),IMPRODUCT(COMPLEX(Ported!C$42,0),C119))))</f>
        <v>5.95822813455535E-06-7.68395619106678E-06i</v>
      </c>
      <c r="M119" s="28">
        <f t="shared" si="13"/>
        <v>-52.209587979266097</v>
      </c>
      <c r="N119" s="39" t="str">
        <f>IMPRODUCT(COMPLEX((Ported!C$10*Ported!C$14)/(2*PI()),0),C119,C119,H119)</f>
        <v>0.087319923767957+0.0625351452827221i</v>
      </c>
      <c r="O119" s="28">
        <f t="shared" si="14"/>
        <v>35.60877061718783</v>
      </c>
      <c r="P119" s="26" t="str">
        <f>IMPRODUCT(COMPLEX((Ported!C$10*Ported!C$24)/(2*PI()),0),C119,C119,J119)</f>
        <v>0.00565430304334142+0.00438441170621353i</v>
      </c>
      <c r="Q119" s="23">
        <f t="shared" si="15"/>
        <v>37.790412020739119</v>
      </c>
      <c r="R119" s="41" t="str">
        <f>IMPRODUCT(COMPLEX((Ported!C$10*Ported!C$24)/(2*PI()),0),C119,C119,L119)</f>
        <v>-0.00250537811783603+0.00323103031048107i</v>
      </c>
      <c r="S119" s="33">
        <f t="shared" si="16"/>
        <v>127.79041202073387</v>
      </c>
      <c r="T119" s="38">
        <f>IMABS(IMDIV(D119,IMSUB(COMPLEX(1,0),IMPRODUCT(COMPLEX(Ported!C$18,0),IMPRODUCT(C119,H119)))))</f>
        <v>7.3437894659925504</v>
      </c>
      <c r="U119" s="21">
        <f>20*LOG10(Ported!C$29*50000*IMABS(N119))</f>
        <v>104.42696562592107</v>
      </c>
      <c r="V119" s="22">
        <f>20*LOG10(Ported!C$29*50000*IMABS(P119))</f>
        <v>80.89884232740674</v>
      </c>
      <c r="W119" s="22">
        <f>20*LOG10(Ported!C$29*50000*IMABS(R119))</f>
        <v>76.038081353680937</v>
      </c>
      <c r="X119" s="28">
        <f>1000*Ported!C$29*IMABS(H119)</f>
        <v>1.3644618934707109</v>
      </c>
      <c r="Y119" s="28">
        <f>1000*Ported!C$29*IMABS(J119)</f>
        <v>0.52749210023351556</v>
      </c>
      <c r="Z119" s="28">
        <f>Ported!C$29*IMABS(IMPRODUCT(C119,J119))</f>
        <v>0.39771967366086303</v>
      </c>
      <c r="AA119" s="28">
        <f>1000*Ported!C$29*IMABS(L119)</f>
        <v>0.30142405727629717</v>
      </c>
      <c r="AB119" s="41" t="str">
        <f t="shared" si="17"/>
        <v>0.0904688486934624+0.0701505872994167i</v>
      </c>
      <c r="AC119" s="28">
        <f>20*LOG10(Ported!C$29*50000*IMABS(AB119))</f>
        <v>104.98124198052523</v>
      </c>
      <c r="AD119" s="28">
        <f t="shared" si="18"/>
        <v>177444.31873521014</v>
      </c>
      <c r="AE119" s="23">
        <f t="shared" si="19"/>
        <v>37.790412020739304</v>
      </c>
      <c r="AG119" s="64"/>
      <c r="AH119" s="1"/>
      <c r="AI119" s="1"/>
      <c r="AJ119" s="1"/>
      <c r="AK119" s="2"/>
      <c r="AL119" s="2"/>
      <c r="AM119" s="2"/>
      <c r="AN119" s="2"/>
      <c r="AO119" s="2"/>
      <c r="AP119" s="2"/>
      <c r="AQ119" s="3"/>
      <c r="AR119" s="3"/>
      <c r="AS119" s="2"/>
      <c r="AT119" s="8"/>
      <c r="AU119" s="8"/>
    </row>
    <row r="120" spans="2:47" x14ac:dyDescent="0.25">
      <c r="B120" s="25">
        <v>123</v>
      </c>
      <c r="C120" s="17" t="str">
        <f t="shared" si="10"/>
        <v>772.831792783089i</v>
      </c>
      <c r="D120" s="18" t="str">
        <f>COMPLEX(Ported!C$19,2*PI()*B120*Ported!C$20)</f>
        <v>6</v>
      </c>
      <c r="E120" s="19" t="str">
        <f>IMSUB(COMPLEX(1,0),IMDIV(COMPLEX(Ported!C$41,0),IMSUM(COMPLEX(Ported!C$41,0),IMPRODUCT(C120,COMPLEX(Ported!C$42,0)))))</f>
        <v>0.998787423152942+0.0348009555105556i</v>
      </c>
      <c r="F120" s="19" t="str">
        <f>IMDIV(IMPRODUCT(C120,COMPLEX((Ported!C$42*Ported!C$14/Ported!C$24),0)),IMSUM(COMPLEX(Ported!C$41,0),IMPRODUCT(C120,COMPLEX(Ported!C$42,0))))</f>
        <v>5.79607209290827+0.201953731460219i</v>
      </c>
      <c r="G120" s="30" t="str">
        <f>IMPRODUCT(F120,IMSUB(COMPLEX(1,0),IMDIV(IMPRODUCT(COMPLEX(Ported!C$41,0),E120),IMSUM(COMPLEX(0-(2*PI()*B120)^2*Ported!C$38,0),IMPRODUCT(C120,COMPLEX(0,0)),IMPRODUCT(COMPLEX(Ported!C$41,0),E120)))))</f>
        <v>6.16170501055611+0.228273159332069i</v>
      </c>
      <c r="H120" s="32" t="str">
        <f>IMDIV(COMPLEX(Ported!C$18,0),IMPRODUCT(D120,IMSUM(COMPLEX(Ported!C$16-(2*PI()*B120)^2*Ported!C$15,0),IMPRODUCT(C120,IMSUM(COMPLEX(Ported!C$17,0),IMDIV(COMPLEX(Ported!C$18^2,0),D120))),IMPRODUCT(COMPLEX(Ported!C$14*Ported!C$41/Ported!C$24,0),G120))))</f>
        <v>-0.0000345397351192858-0.0000239439303748476i</v>
      </c>
      <c r="I120" s="27">
        <f t="shared" si="11"/>
        <v>-145.26919536003169</v>
      </c>
      <c r="J120" s="20" t="str">
        <f>IMPRODUCT(IMDIV(IMPRODUCT(COMPLEX(-Ported!C$41,0),F120),IMSUM(IMPRODUCT(COMPLEX(Ported!C$41,0),E120),COMPLEX(Calculations!C$3-(2*PI()*B120)^2*Ported!C$38,0),IMPRODUCT(COMPLEX(Calculations!C$4,0),C120))),H120)</f>
        <v>-0.0000123353897866918-9.24568293999267E-06i</v>
      </c>
      <c r="K120" s="27">
        <f t="shared" si="12"/>
        <v>-143.14752451008161</v>
      </c>
      <c r="L120" s="40" t="str">
        <f>IMSUM(IMPRODUCT(COMPLEX(-(Ported!C$14/Ported!C$24),0),H120),IMDIV(IMPRODUCT(COMPLEX(-Ported!C$41,0),J120),IMSUM(COMPLEX(Ported!C$41,0),IMPRODUCT(COMPLEX(Ported!C$42,0),C120))),IMDIV(IMPRODUCT(COMPLEX(Ported!C$42*Ported!C$14/Ported!C$24,0),C120,H120),IMSUM(COMPLEX(Ported!C$41,0),IMPRODUCT(COMPLEX(Ported!C$42,0),C120))))</f>
        <v>5.41532857913817E-06-7.22501401791977E-06i</v>
      </c>
      <c r="M120" s="28">
        <f t="shared" si="13"/>
        <v>-53.147524510084715</v>
      </c>
      <c r="N120" s="39" t="str">
        <f>IMPRODUCT(COMPLEX((Ported!C$10*Ported!C$14)/(2*PI()),0),C120,C120,H120)</f>
        <v>0.0885489873999976+0.061384685833475i</v>
      </c>
      <c r="O120" s="28">
        <f t="shared" si="14"/>
        <v>34.730804639968348</v>
      </c>
      <c r="P120" s="26" t="str">
        <f>IMPRODUCT(COMPLEX((Ported!C$10*Ported!C$24)/(2*PI()),0),C120,C120,J120)</f>
        <v>0.00544950129558705+0.004084537418869i</v>
      </c>
      <c r="Q120" s="23">
        <f t="shared" si="15"/>
        <v>36.85247548991839</v>
      </c>
      <c r="R120" s="41" t="str">
        <f>IMPRODUCT(COMPLEX((Ported!C$10*Ported!C$24)/(2*PI()),0),C120,C120,L120)</f>
        <v>-0.00239237191676596+0.00319185075884397i</v>
      </c>
      <c r="S120" s="33">
        <f t="shared" si="16"/>
        <v>126.85247548991535</v>
      </c>
      <c r="T120" s="38">
        <f>IMABS(IMDIV(D120,IMSUB(COMPLEX(1,0),IMPRODUCT(COMPLEX(Ported!C$18,0),IMPRODUCT(C120,H120)))))</f>
        <v>7.2672570755753121</v>
      </c>
      <c r="U120" s="21">
        <f>20*LOG10(Ported!C$29*50000*IMABS(N120))</f>
        <v>104.45458313198665</v>
      </c>
      <c r="V120" s="22">
        <f>20*LOG10(Ported!C$29*50000*IMABS(P120))</f>
        <v>80.469989189487563</v>
      </c>
      <c r="W120" s="22">
        <f>20*LOG10(Ported!C$29*50000*IMABS(R120))</f>
        <v>75.823705523597127</v>
      </c>
      <c r="X120" s="28">
        <f>1000*Ported!C$29*IMABS(H120)</f>
        <v>1.3028504153791567</v>
      </c>
      <c r="Y120" s="28">
        <f>1000*Ported!C$29*IMABS(J120)</f>
        <v>0.47788739148679021</v>
      </c>
      <c r="Z120" s="28">
        <f>Ported!C$29*IMABS(IMPRODUCT(C120,J120))</f>
        <v>0.36932656951117004</v>
      </c>
      <c r="AA120" s="28">
        <f>1000*Ported!C$29*IMABS(L120)</f>
        <v>0.27990547215654832</v>
      </c>
      <c r="AB120" s="41" t="str">
        <f t="shared" si="17"/>
        <v>0.0916061167788187+0.068661074011188i</v>
      </c>
      <c r="AC120" s="28">
        <f>20*LOG10(Ported!C$29*50000*IMABS(AB120))</f>
        <v>104.98134345827701</v>
      </c>
      <c r="AD120" s="28">
        <f t="shared" si="18"/>
        <v>177446.39183957456</v>
      </c>
      <c r="AE120" s="23">
        <f t="shared" si="19"/>
        <v>36.852475489918312</v>
      </c>
      <c r="AG120" s="64"/>
      <c r="AH120" s="1"/>
      <c r="AI120" s="1"/>
      <c r="AJ120" s="1"/>
      <c r="AK120" s="2"/>
      <c r="AL120" s="2"/>
      <c r="AM120" s="2"/>
      <c r="AN120" s="2"/>
      <c r="AO120" s="2"/>
      <c r="AP120" s="2"/>
      <c r="AQ120" s="3"/>
      <c r="AR120" s="3"/>
      <c r="AS120" s="2"/>
      <c r="AT120" s="8"/>
      <c r="AU120" s="8"/>
    </row>
    <row r="121" spans="2:47" x14ac:dyDescent="0.25">
      <c r="B121" s="25">
        <v>126</v>
      </c>
      <c r="C121" s="17" t="str">
        <f t="shared" si="10"/>
        <v>791.681348704628i</v>
      </c>
      <c r="D121" s="18" t="str">
        <f>COMPLEX(Ported!C$19,2*PI()*B121*Ported!C$20)</f>
        <v>6</v>
      </c>
      <c r="E121" s="19" t="str">
        <f>IMSUB(COMPLEX(1,0),IMDIV(COMPLEX(Ported!C$41,0),IMSUM(COMPLEX(Ported!C$41,0),IMPRODUCT(C121,COMPLEX(Ported!C$42,0)))))</f>
        <v>0.998844411574374+0.0339742997134141i</v>
      </c>
      <c r="F121" s="19" t="str">
        <f>IMDIV(IMPRODUCT(C121,COMPLEX((Ported!C$42*Ported!C$14/Ported!C$24),0)),IMSUM(COMPLEX(Ported!C$41,0),IMPRODUCT(C121,COMPLEX(Ported!C$42,0))))</f>
        <v>5.79640280291866+0.197156557922404i</v>
      </c>
      <c r="G121" s="30" t="str">
        <f>IMPRODUCT(F121,IMSUB(COMPLEX(1,0),IMDIV(IMPRODUCT(COMPLEX(Ported!C$41,0),E121),IMSUM(COMPLEX(0-(2*PI()*B121)^2*Ported!C$38,0),IMPRODUCT(C121,COMPLEX(0,0)),IMPRODUCT(COMPLEX(Ported!C$41,0),E121)))))</f>
        <v>6.14386533742119+0.22153360591663i</v>
      </c>
      <c r="H121" s="32" t="str">
        <f>IMDIV(COMPLEX(Ported!C$18,0),IMPRODUCT(D121,IMSUM(COMPLEX(Ported!C$16-(2*PI()*B121)^2*Ported!C$15,0),IMPRODUCT(C121,IMSUM(COMPLEX(Ported!C$17,0),IMDIV(COMPLEX(Ported!C$18^2,0),D121))),IMPRODUCT(COMPLEX(Ported!C$14*Ported!C$41/Ported!C$24,0),G121))))</f>
        <v>-0.0000333418669885871-0.0000224008545392728i</v>
      </c>
      <c r="I121" s="27">
        <f t="shared" si="11"/>
        <v>-146.10467683873995</v>
      </c>
      <c r="J121" s="20" t="str">
        <f>IMPRODUCT(IMDIV(IMPRODUCT(COMPLEX(-Ported!C$41,0),F121),IMSUM(IMPRODUCT(COMPLEX(Ported!C$41,0),E121),COMPLEX(Calculations!C$3-(2*PI()*B121)^2*Ported!C$38,0),IMPRODUCT(COMPLEX(Calculations!C$4,0),C121))),H121)</f>
        <v>-0.0000113313718137409-8.22075837610128E-06i</v>
      </c>
      <c r="K121" s="27">
        <f t="shared" si="12"/>
        <v>-144.03961790750805</v>
      </c>
      <c r="L121" s="40" t="str">
        <f>IMSUM(IMPRODUCT(COMPLEX(-(Ported!C$14/Ported!C$24),0),H121),IMDIV(IMPRODUCT(COMPLEX(-Ported!C$41,0),J121),IMSUM(COMPLEX(Ported!C$41,0),IMPRODUCT(COMPLEX(Ported!C$42,0),C121))),IMDIV(IMPRODUCT(COMPLEX(Ported!C$42*Ported!C$14/Ported!C$24,0),C121,H121),IMSUM(COMPLEX(Ported!C$41,0),IMPRODUCT(COMPLEX(Ported!C$42,0),C121))))</f>
        <v>4.93245502566065E-06-6.79882308824488E-06i</v>
      </c>
      <c r="M121" s="28">
        <f t="shared" si="13"/>
        <v>-54.039617907510078</v>
      </c>
      <c r="N121" s="39" t="str">
        <f>IMPRODUCT(COMPLEX((Ported!C$10*Ported!C$14)/(2*PI()),0),C121,C121,H121)</f>
        <v>0.0896985408838198+0.0602642907612598i</v>
      </c>
      <c r="O121" s="28">
        <f t="shared" si="14"/>
        <v>33.895323161260066</v>
      </c>
      <c r="P121" s="26" t="str">
        <f>IMPRODUCT(COMPLEX((Ported!C$10*Ported!C$24)/(2*PI()),0),C121,C121,J121)</f>
        <v>0.00525311901568122+0.00381106743814114i</v>
      </c>
      <c r="Q121" s="23">
        <f t="shared" si="15"/>
        <v>35.960382092491919</v>
      </c>
      <c r="R121" s="41" t="str">
        <f>IMPRODUCT(COMPLEX((Ported!C$10*Ported!C$24)/(2*PI()),0),C121,C121,L121)</f>
        <v>-0.00228664046288463+0.00315187140940889i</v>
      </c>
      <c r="S121" s="33">
        <f t="shared" si="16"/>
        <v>125.96038209248991</v>
      </c>
      <c r="T121" s="38">
        <f>IMABS(IMDIV(D121,IMSUB(COMPLEX(1,0),IMPRODUCT(COMPLEX(Ported!C$18,0),IMPRODUCT(C121,H121)))))</f>
        <v>7.1973713720000365</v>
      </c>
      <c r="U121" s="21">
        <f>20*LOG10(Ported!C$29*50000*IMABS(N121))</f>
        <v>104.4801747399854</v>
      </c>
      <c r="V121" s="22">
        <f>20*LOG10(Ported!C$29*50000*IMABS(P121))</f>
        <v>80.05146545752342</v>
      </c>
      <c r="W121" s="22">
        <f>20*LOG10(Ported!C$29*50000*IMABS(R121))</f>
        <v>75.614490465196525</v>
      </c>
      <c r="X121" s="28">
        <f>1000*Ported!C$29*IMABS(H121)</f>
        <v>1.2452119183567494</v>
      </c>
      <c r="Y121" s="28">
        <f>1000*Ported!C$29*IMABS(J121)</f>
        <v>0.43397880374110592</v>
      </c>
      <c r="Z121" s="28">
        <f>Ported!C$29*IMABS(IMPRODUCT(C121,J121))</f>
        <v>0.34357292465497974</v>
      </c>
      <c r="AA121" s="28">
        <f>1000*Ported!C$29*IMABS(L121)</f>
        <v>0.26038728224466995</v>
      </c>
      <c r="AB121" s="41" t="str">
        <f t="shared" si="17"/>
        <v>0.0926650194366164+0.0672272296088098i</v>
      </c>
      <c r="AC121" s="28">
        <f>20*LOG10(Ported!C$29*50000*IMABS(AB121))</f>
        <v>104.98143707343944</v>
      </c>
      <c r="AD121" s="28">
        <f t="shared" si="18"/>
        <v>177448.30433938815</v>
      </c>
      <c r="AE121" s="23">
        <f t="shared" si="19"/>
        <v>35.96038209249204</v>
      </c>
      <c r="AG121" s="64"/>
      <c r="AH121" s="1"/>
      <c r="AI121" s="1"/>
      <c r="AJ121" s="1"/>
      <c r="AK121" s="2"/>
      <c r="AL121" s="2"/>
      <c r="AM121" s="2"/>
      <c r="AN121" s="2"/>
      <c r="AO121" s="2"/>
      <c r="AP121" s="2"/>
      <c r="AQ121" s="3"/>
      <c r="AR121" s="3"/>
      <c r="AS121" s="2"/>
      <c r="AT121" s="8"/>
      <c r="AU121" s="8"/>
    </row>
    <row r="122" spans="2:47" x14ac:dyDescent="0.25">
      <c r="B122" s="25">
        <v>129</v>
      </c>
      <c r="C122" s="17" t="str">
        <f t="shared" si="10"/>
        <v>810.530904626167i</v>
      </c>
      <c r="D122" s="18" t="str">
        <f>COMPLEX(Ported!C$19,2*PI()*B122*Ported!C$20)</f>
        <v>6</v>
      </c>
      <c r="E122" s="19" t="str">
        <f>IMSUB(COMPLEX(1,0),IMDIV(COMPLEX(Ported!C$41,0),IMSUM(COMPLEX(Ported!C$41,0),IMPRODUCT(C122,COMPLEX(Ported!C$42,0)))))</f>
        <v>0.998897476323304+0.0331859626685483i</v>
      </c>
      <c r="F122" s="19" t="str">
        <f>IMDIV(IMPRODUCT(C122,COMPLEX((Ported!C$42*Ported!C$14/Ported!C$24),0)),IMSUM(COMPLEX(Ported!C$41,0),IMPRODUCT(C122,COMPLEX(Ported!C$42,0))))</f>
        <v>5.79671074343056+0.192581752273441i</v>
      </c>
      <c r="G122" s="30" t="str">
        <f>IMPRODUCT(F122,IMSUB(COMPLEX(1,0),IMDIV(IMPRODUCT(COMPLEX(Ported!C$41,0),E122),IMSUM(COMPLEX(0-(2*PI()*B122)^2*Ported!C$38,0),IMPRODUCT(C122,COMPLEX(0,0)),IMPRODUCT(COMPLEX(Ported!C$41,0),E122)))))</f>
        <v>6.12734615813542+0.215205329412582i</v>
      </c>
      <c r="H122" s="32" t="str">
        <f>IMDIV(COMPLEX(Ported!C$18,0),IMPRODUCT(D122,IMSUM(COMPLEX(Ported!C$16-(2*PI()*B122)^2*Ported!C$15,0),IMPRODUCT(C122,IMSUM(COMPLEX(Ported!C$17,0),IMDIV(COMPLEX(Ported!C$18^2,0),D122))),IMPRODUCT(COMPLEX(Ported!C$14*Ported!C$41/Ported!C$24,0),G122))))</f>
        <v>-0.0000321908895467803-0.0000209844152654906i</v>
      </c>
      <c r="I122" s="27">
        <f t="shared" si="11"/>
        <v>-146.90070151236299</v>
      </c>
      <c r="J122" s="20" t="str">
        <f>IMPRODUCT(IMDIV(IMPRODUCT(COMPLEX(-Ported!C$41,0),F122),IMSUM(IMPRODUCT(COMPLEX(Ported!C$41,0),E122),COMPLEX(Calculations!C$3-(2*PI()*B122)^2*Ported!C$38,0),IMPRODUCT(COMPLEX(Calculations!C$4,0),C122))),H122)</f>
        <v>-0.0000104234053754292-0.0000073286331663992i</v>
      </c>
      <c r="K122" s="27">
        <f t="shared" si="12"/>
        <v>-144.88917964859158</v>
      </c>
      <c r="L122" s="40" t="str">
        <f>IMSUM(IMPRODUCT(COMPLEX(-(Ported!C$14/Ported!C$24),0),H122),IMDIV(IMPRODUCT(COMPLEX(-Ported!C$41,0),J122),IMSUM(COMPLEX(Ported!C$41,0),IMPRODUCT(COMPLEX(Ported!C$42,0),C122))),IMDIV(IMPRODUCT(COMPLEX(Ported!C$42*Ported!C$14/Ported!C$24,0),C122,H122),IMSUM(COMPLEX(Ported!C$41,0),IMPRODUCT(COMPLEX(Ported!C$42,0),C122))))</f>
        <v>4.50187465935882E-06-6.40294901633535E-06i</v>
      </c>
      <c r="M122" s="28">
        <f t="shared" si="13"/>
        <v>-54.88917964859683</v>
      </c>
      <c r="N122" s="39" t="str">
        <f>IMPRODUCT(COMPLEX((Ported!C$10*Ported!C$14)/(2*PI()),0),C122,C122,H122)</f>
        <v>0.0907751075505572+0.0591739644175501i</v>
      </c>
      <c r="O122" s="28">
        <f t="shared" si="14"/>
        <v>33.099298487637007</v>
      </c>
      <c r="P122" s="26" t="str">
        <f>IMPRODUCT(COMPLEX((Ported!C$10*Ported!C$24)/(2*PI()),0),C122,C122,J122)</f>
        <v>0.00506503800905065+0.00356119753623923i</v>
      </c>
      <c r="Q122" s="23">
        <f t="shared" si="15"/>
        <v>35.110820351408471</v>
      </c>
      <c r="R122" s="41" t="str">
        <f>IMPRODUCT(COMPLEX((Ported!C$10*Ported!C$24)/(2*PI()),0),C122,C122,L122)</f>
        <v>-0.00218759277226091+0.0031113804912741i</v>
      </c>
      <c r="S122" s="33">
        <f t="shared" si="16"/>
        <v>125.11082035140326</v>
      </c>
      <c r="T122" s="38">
        <f>IMABS(IMDIV(D122,IMSUB(COMPLEX(1,0),IMPRODUCT(COMPLEX(Ported!C$18,0),IMPRODUCT(C122,H122)))))</f>
        <v>7.1333571091600776</v>
      </c>
      <c r="U122" s="21">
        <f>20*LOG10(Ported!C$29*50000*IMABS(N122))</f>
        <v>104.50393570571742</v>
      </c>
      <c r="V122" s="22">
        <f>20*LOG10(Ported!C$29*50000*IMABS(P122))</f>
        <v>79.642785523177366</v>
      </c>
      <c r="W122" s="22">
        <f>20*LOG10(Ported!C$29*50000*IMABS(R122))</f>
        <v>75.410193834483763</v>
      </c>
      <c r="X122" s="28">
        <f>1000*Ported!C$29*IMABS(H122)</f>
        <v>1.1912227712512506</v>
      </c>
      <c r="Y122" s="28">
        <f>1000*Ported!C$29*IMABS(J122)</f>
        <v>0.3949991774719967</v>
      </c>
      <c r="Z122" s="28">
        <f>Ported!C$29*IMABS(IMPRODUCT(C122,J122))</f>
        <v>0.32015904064296929</v>
      </c>
      <c r="AA122" s="28">
        <f>1000*Ported!C$29*IMABS(L122)</f>
        <v>0.2426423518756497</v>
      </c>
      <c r="AB122" s="41" t="str">
        <f t="shared" si="17"/>
        <v>0.0936525527873469+0.0658465424450634i</v>
      </c>
      <c r="AC122" s="28">
        <f>20*LOG10(Ported!C$29*50000*IMABS(AB122))</f>
        <v>104.98152374636085</v>
      </c>
      <c r="AD122" s="28">
        <f t="shared" si="18"/>
        <v>177450.07503189211</v>
      </c>
      <c r="AE122" s="23">
        <f t="shared" si="19"/>
        <v>35.110820351408385</v>
      </c>
      <c r="AG122" s="64"/>
      <c r="AH122" s="1"/>
      <c r="AI122" s="1"/>
      <c r="AJ122" s="1"/>
      <c r="AK122" s="2"/>
      <c r="AL122" s="2"/>
      <c r="AM122" s="2"/>
      <c r="AN122" s="2"/>
      <c r="AO122" s="2"/>
      <c r="AP122" s="2"/>
      <c r="AQ122" s="3"/>
      <c r="AR122" s="3"/>
      <c r="AS122" s="2"/>
      <c r="AT122" s="8"/>
      <c r="AU122" s="8"/>
    </row>
    <row r="123" spans="2:47" x14ac:dyDescent="0.25">
      <c r="B123" s="25">
        <v>132</v>
      </c>
      <c r="C123" s="17" t="str">
        <f t="shared" si="10"/>
        <v>829.380460547705i</v>
      </c>
      <c r="D123" s="18" t="str">
        <f>COMPLEX(Ported!C$19,2*PI()*B123*Ported!C$20)</f>
        <v>6</v>
      </c>
      <c r="E123" s="19" t="str">
        <f>IMSUB(COMPLEX(1,0),IMDIV(COMPLEX(Ported!C$41,0),IMSUM(COMPLEX(Ported!C$41,0),IMPRODUCT(C123,COMPLEX(Ported!C$42,0)))))</f>
        <v>0.99894696937787+0.0324333431616193i</v>
      </c>
      <c r="F123" s="19" t="str">
        <f>IMDIV(IMPRODUCT(C123,COMPLEX((Ported!C$42*Ported!C$14/Ported!C$24),0)),IMSUM(COMPLEX(Ported!C$41,0),IMPRODUCT(C123,COMPLEX(Ported!C$42,0))))</f>
        <v>5.79699795701148+0.18821421938349i</v>
      </c>
      <c r="G123" s="30" t="str">
        <f>IMPRODUCT(F123,IMSUB(COMPLEX(1,0),IMDIV(IMPRODUCT(COMPLEX(Ported!C$41,0),E123),IMSUM(COMPLEX(0-(2*PI()*B123)^2*Ported!C$38,0),IMPRODUCT(C123,COMPLEX(0,0)),IMPRODUCT(COMPLEX(Ported!C$41,0),E123)))))</f>
        <v>6.11201838835868+0.209250551733413i</v>
      </c>
      <c r="H123" s="32" t="str">
        <f>IMDIV(COMPLEX(Ported!C$18,0),IMPRODUCT(D123,IMSUM(COMPLEX(Ported!C$16-(2*PI()*B123)^2*Ported!C$15,0),IMPRODUCT(C123,IMSUM(COMPLEX(Ported!C$17,0),IMDIV(COMPLEX(Ported!C$18^2,0),D123))),IMPRODUCT(COMPLEX(Ported!C$14*Ported!C$41/Ported!C$24,0),G123))))</f>
        <v>-0.0000310861887462022-0.0000196822506105652i</v>
      </c>
      <c r="I123" s="27">
        <f t="shared" si="11"/>
        <v>-147.66001444886331</v>
      </c>
      <c r="J123" s="20" t="str">
        <f>IMPRODUCT(IMDIV(IMPRODUCT(COMPLEX(-Ported!C$41,0),F123),IMSUM(IMPRODUCT(COMPLEX(Ported!C$41,0),E123),COMPLEX(Calculations!C$3-(2*PI()*B123)^2*Ported!C$38,0),IMPRODUCT(COMPLEX(Calculations!C$4,0),C123))),H123)</f>
        <v>-9.60128282237398E-06-6.54974585756664E-06i</v>
      </c>
      <c r="K123" s="27">
        <f t="shared" si="12"/>
        <v>-145.69920676750311</v>
      </c>
      <c r="L123" s="40" t="str">
        <f>IMSUM(IMPRODUCT(COMPLEX(-(Ported!C$14/Ported!C$24),0),H123),IMDIV(IMPRODUCT(COMPLEX(-Ported!C$41,0),J123),IMSUM(COMPLEX(Ported!C$41,0),IMPRODUCT(COMPLEX(Ported!C$42,0),C123))),IMDIV(IMPRODUCT(COMPLEX(Ported!C$42*Ported!C$14/Ported!C$24,0),C123,H123),IMSUM(COMPLEX(Ported!C$41,0),IMPRODUCT(COMPLEX(Ported!C$42,0),C123))))</f>
        <v>4.11698311046952E-06-6.03509205977863E-06i</v>
      </c>
      <c r="M123" s="28">
        <f t="shared" si="13"/>
        <v>-55.699206767512301</v>
      </c>
      <c r="N123" s="39" t="str">
        <f>IMPRODUCT(COMPLEX((Ported!C$10*Ported!C$14)/(2*PI()),0),C123,C123,H123)</f>
        <v>0.0917845780256806+0.0581134947624328i</v>
      </c>
      <c r="O123" s="28">
        <f t="shared" si="14"/>
        <v>32.339985551136635</v>
      </c>
      <c r="P123" s="26" t="str">
        <f>IMPRODUCT(COMPLEX((Ported!C$10*Ported!C$24)/(2*PI()),0),C123,C123,J123)</f>
        <v>0.0048850699310513+0.00333246787296652i</v>
      </c>
      <c r="Q123" s="23">
        <f t="shared" si="15"/>
        <v>34.300793232496879</v>
      </c>
      <c r="R123" s="41" t="str">
        <f>IMPRODUCT(COMPLEX((Ported!C$10*Ported!C$24)/(2*PI()),0),C123,C123,L123)</f>
        <v>-0.00209469409157848+0.0030706153852326i</v>
      </c>
      <c r="S123" s="33">
        <f t="shared" si="16"/>
        <v>124.30079323248775</v>
      </c>
      <c r="T123" s="38">
        <f>IMABS(IMDIV(D123,IMSUB(COMPLEX(1,0),IMPRODUCT(COMPLEX(Ported!C$18,0),IMPRODUCT(C123,H123)))))</f>
        <v>7.0745519548717333</v>
      </c>
      <c r="U123" s="21">
        <f>20*LOG10(Ported!C$29*50000*IMABS(N123))</f>
        <v>104.52603810002934</v>
      </c>
      <c r="V123" s="22">
        <f>20*LOG10(Ported!C$29*50000*IMABS(P123))</f>
        <v>79.243497186724426</v>
      </c>
      <c r="W123" s="22">
        <f>20*LOG10(Ported!C$29*50000*IMABS(R123))</f>
        <v>75.210589916163102</v>
      </c>
      <c r="X123" s="28">
        <f>1000*Ported!C$29*IMABS(H123)</f>
        <v>1.1405902757725934</v>
      </c>
      <c r="Y123" s="28">
        <f>1000*Ported!C$29*IMABS(J123)</f>
        <v>0.36029922887955496</v>
      </c>
      <c r="Z123" s="28">
        <f>Ported!C$29*IMABS(IMPRODUCT(C123,J123))</f>
        <v>0.29882514038310826</v>
      </c>
      <c r="AA123" s="28">
        <f>1000*Ported!C$29*IMABS(L123)</f>
        <v>0.2264738010100075</v>
      </c>
      <c r="AB123" s="41" t="str">
        <f t="shared" si="17"/>
        <v>0.0945749538651534+0.0645165780206319i</v>
      </c>
      <c r="AC123" s="28">
        <f>20*LOG10(Ported!C$29*50000*IMABS(AB123))</f>
        <v>104.98160424617194</v>
      </c>
      <c r="AD123" s="28">
        <f t="shared" si="18"/>
        <v>177451.71962609116</v>
      </c>
      <c r="AE123" s="23">
        <f t="shared" si="19"/>
        <v>34.300793232496851</v>
      </c>
      <c r="AG123" s="64"/>
      <c r="AH123" s="1"/>
      <c r="AI123" s="1"/>
      <c r="AJ123" s="1"/>
      <c r="AK123" s="2"/>
      <c r="AL123" s="2"/>
      <c r="AM123" s="2"/>
      <c r="AN123" s="2"/>
      <c r="AO123" s="2"/>
      <c r="AP123" s="2"/>
      <c r="AQ123" s="3"/>
      <c r="AR123" s="3"/>
      <c r="AS123" s="2"/>
      <c r="AT123" s="8"/>
      <c r="AU123" s="8"/>
    </row>
    <row r="124" spans="2:47" x14ac:dyDescent="0.25">
      <c r="B124" s="25">
        <v>135</v>
      </c>
      <c r="C124" s="17" t="str">
        <f t="shared" si="10"/>
        <v>848.230016469244i</v>
      </c>
      <c r="D124" s="18" t="str">
        <f>COMPLEX(Ported!C$19,2*PI()*B124*Ported!C$20)</f>
        <v>6</v>
      </c>
      <c r="E124" s="19" t="str">
        <f>IMSUB(COMPLEX(1,0),IMDIV(COMPLEX(Ported!C$41,0),IMSUM(COMPLEX(Ported!C$41,0),IMPRODUCT(C124,COMPLEX(Ported!C$42,0)))))</f>
        <v>0.998993204127863+0.0317140699723132i</v>
      </c>
      <c r="F124" s="19" t="str">
        <f>IMDIV(IMPRODUCT(C124,COMPLEX((Ported!C$42*Ported!C$14/Ported!C$24),0)),IMSUM(COMPLEX(Ported!C$41,0),IMPRODUCT(C124,COMPLEX(Ported!C$42,0))))</f>
        <v>5.79726626229643+0.184040198803062i</v>
      </c>
      <c r="G124" s="30" t="str">
        <f>IMPRODUCT(F124,IMSUB(COMPLEX(1,0),IMDIV(IMPRODUCT(COMPLEX(Ported!C$41,0),E124),IMSUM(COMPLEX(0-(2*PI()*B124)^2*Ported!C$38,0),IMPRODUCT(C124,COMPLEX(0,0)),IMPRODUCT(COMPLEX(Ported!C$41,0),E124)))))</f>
        <v>6.09776854416607+0.203636055278274i</v>
      </c>
      <c r="H124" s="32" t="str">
        <f>IMDIV(COMPLEX(Ported!C$18,0),IMPRODUCT(D124,IMSUM(COMPLEX(Ported!C$16-(2*PI()*B124)^2*Ported!C$15,0),IMPRODUCT(C124,IMSUM(COMPLEX(Ported!C$17,0),IMDIV(COMPLEX(Ported!C$18^2,0),D124))),IMPRODUCT(COMPLEX(Ported!C$14*Ported!C$41/Ported!C$24,0),G124))))</f>
        <v>-0.0000300267980624063-0.0000184833675062867i</v>
      </c>
      <c r="I124" s="27">
        <f t="shared" si="11"/>
        <v>-148.38511050440778</v>
      </c>
      <c r="J124" s="20" t="str">
        <f>IMPRODUCT(IMDIV(IMPRODUCT(COMPLEX(-Ported!C$41,0),F124),IMSUM(IMPRODUCT(COMPLEX(Ported!C$41,0),E124),COMPLEX(Calculations!C$3-(2*PI()*B124)^2*Ported!C$38,0),IMPRODUCT(COMPLEX(Calculations!C$4,0),C124))),H124)</f>
        <v>-8.85593010665335E-06-0.0000058677449718599i</v>
      </c>
      <c r="K124" s="27">
        <f t="shared" si="12"/>
        <v>-146.47241867312619</v>
      </c>
      <c r="L124" s="40" t="str">
        <f>IMSUM(IMPRODUCT(COMPLEX(-(Ported!C$14/Ported!C$24),0),H124),IMDIV(IMPRODUCT(COMPLEX(-Ported!C$41,0),J124),IMSUM(COMPLEX(Ported!C$41,0),IMPRODUCT(COMPLEX(Ported!C$42,0),C124))),IMDIV(IMPRODUCT(COMPLEX(Ported!C$42*Ported!C$14/Ported!C$24,0),C124,H124),IMSUM(COMPLEX(Ported!C$41,0),IMPRODUCT(COMPLEX(Ported!C$42,0),C124))))</f>
        <v>3.77212176762358E-06-5.69309792570589E-06i</v>
      </c>
      <c r="M124" s="28">
        <f t="shared" si="13"/>
        <v>-56.47241867313145</v>
      </c>
      <c r="N124" s="39" t="str">
        <f>IMPRODUCT(COMPLEX((Ported!C$10*Ported!C$14)/(2*PI()),0),C124,C124,H124)</f>
        <v>0.0927322791403244+0.0570825031521467i</v>
      </c>
      <c r="O124" s="28">
        <f t="shared" si="14"/>
        <v>31.614889495592241</v>
      </c>
      <c r="P124" s="26" t="str">
        <f>IMPRODUCT(COMPLEX((Ported!C$10*Ported!C$24)/(2*PI()),0),C124,C124,J124)</f>
        <v>0.00471297761762143+0.00312271555728628i</v>
      </c>
      <c r="Q124" s="23">
        <f t="shared" si="15"/>
        <v>33.527581326873772</v>
      </c>
      <c r="R124" s="41" t="str">
        <f>IMPRODUCT(COMPLEX((Ported!C$10*Ported!C$24)/(2*PI()),0),C124,C124,L124)</f>
        <v>-0.00200746000111227+0.00302977132561386i</v>
      </c>
      <c r="S124" s="33">
        <f t="shared" si="16"/>
        <v>123.52758132686859</v>
      </c>
      <c r="T124" s="38">
        <f>IMABS(IMDIV(D124,IMSUB(COMPLEX(1,0),IMPRODUCT(COMPLEX(Ported!C$18,0),IMPRODUCT(C124,H124)))))</f>
        <v>7.0203869057410975</v>
      </c>
      <c r="U124" s="21">
        <f>20*LOG10(Ported!C$29*50000*IMABS(N124))</f>
        <v>104.54663406559199</v>
      </c>
      <c r="V124" s="22">
        <f>20*LOG10(Ported!C$29*50000*IMABS(P124))</f>
        <v>78.853178671263606</v>
      </c>
      <c r="W124" s="22">
        <f>20*LOG10(Ported!C$29*50000*IMABS(R124))</f>
        <v>75.015468146485063</v>
      </c>
      <c r="X124" s="28">
        <f>1000*Ported!C$29*IMABS(H124)</f>
        <v>1.0930493953518823</v>
      </c>
      <c r="Y124" s="28">
        <f>1000*Ported!C$29*IMABS(J124)</f>
        <v>0.32932729901038638</v>
      </c>
      <c r="Z124" s="28">
        <f>Ported!C$29*IMABS(IMPRODUCT(C124,J124))</f>
        <v>0.2793453002633518</v>
      </c>
      <c r="AA124" s="28">
        <f>1000*Ported!C$29*IMABS(L124)</f>
        <v>0.21171040650667022</v>
      </c>
      <c r="AB124" s="41" t="str">
        <f t="shared" si="17"/>
        <v>0.0954377967568336+0.0632349900350468i</v>
      </c>
      <c r="AC124" s="28">
        <f>20*LOG10(Ported!C$29*50000*IMABS(AB124))</f>
        <v>104.98167922227731</v>
      </c>
      <c r="AD124" s="28">
        <f t="shared" si="18"/>
        <v>177453.251385854</v>
      </c>
      <c r="AE124" s="23">
        <f t="shared" si="19"/>
        <v>33.527581326873715</v>
      </c>
      <c r="AG124" s="64"/>
      <c r="AH124" s="1"/>
      <c r="AI124" s="1"/>
      <c r="AJ124" s="1"/>
      <c r="AK124" s="2"/>
      <c r="AL124" s="2"/>
      <c r="AM124" s="2"/>
      <c r="AN124" s="2"/>
      <c r="AO124" s="2"/>
      <c r="AP124" s="2"/>
      <c r="AQ124" s="3"/>
      <c r="AR124" s="3"/>
      <c r="AS124" s="2"/>
      <c r="AT124" s="8"/>
      <c r="AU124" s="8"/>
    </row>
    <row r="125" spans="2:47" x14ac:dyDescent="0.25">
      <c r="B125" s="25">
        <v>138</v>
      </c>
      <c r="C125" s="17" t="str">
        <f t="shared" si="10"/>
        <v>867.079572390783i</v>
      </c>
      <c r="D125" s="18" t="str">
        <f>COMPLEX(Ported!C$19,2*PI()*B125*Ported!C$20)</f>
        <v>6</v>
      </c>
      <c r="E125" s="19" t="str">
        <f>IMSUB(COMPLEX(1,0),IMDIV(COMPLEX(Ported!C$41,0),IMSUM(COMPLEX(Ported!C$41,0),IMPRODUCT(C125,COMPLEX(Ported!C$42,0)))))</f>
        <v>0.999036460340708+0.0310259770292146i</v>
      </c>
      <c r="F125" s="19" t="str">
        <f>IMDIV(IMPRODUCT(C125,COMPLEX((Ported!C$42*Ported!C$14/Ported!C$24),0)),IMSUM(COMPLEX(Ported!C$41,0),IMPRODUCT(C125,COMPLEX(Ported!C$42,0))))</f>
        <v>5.79751728280617+0.180047120584043i</v>
      </c>
      <c r="G125" s="30" t="str">
        <f>IMPRODUCT(F125,IMSUB(COMPLEX(1,0),IMDIV(IMPRODUCT(COMPLEX(Ported!C$41,0),E125),IMSUM(COMPLEX(0-(2*PI()*B125)^2*Ported!C$38,0),IMPRODUCT(C125,COMPLEX(0,0)),IMPRODUCT(COMPLEX(Ported!C$41,0),E125)))))</f>
        <v>6.08449650746825+0.19833251087269i</v>
      </c>
      <c r="H125" s="32" t="str">
        <f>IMDIV(COMPLEX(Ported!C$18,0),IMPRODUCT(D125,IMSUM(COMPLEX(Ported!C$16-(2*PI()*B125)^2*Ported!C$15,0),IMPRODUCT(C125,IMSUM(COMPLEX(Ported!C$17,0),IMDIV(COMPLEX(Ported!C$18^2,0),D125))),IMPRODUCT(COMPLEX(Ported!C$14*Ported!C$41/Ported!C$24,0),G125))))</f>
        <v>-0.000029011498957467-0.0000173779765991339i</v>
      </c>
      <c r="I125" s="27">
        <f t="shared" si="11"/>
        <v>-149.07826235048057</v>
      </c>
      <c r="J125" s="20" t="str">
        <f>IMPRODUCT(IMDIV(IMPRODUCT(COMPLEX(-Ported!C$41,0),F125),IMSUM(IMPRODUCT(COMPLEX(Ported!C$41,0),E125),COMPLEX(Calculations!C$3-(2*PI()*B125)^2*Ported!C$38,0),IMPRODUCT(COMPLEX(Calculations!C$4,0),C125))),H125)</f>
        <v>-8.17928857988348E-06-5.26891121723585E-06i</v>
      </c>
      <c r="K125" s="27">
        <f t="shared" si="12"/>
        <v>-147.2112888613255</v>
      </c>
      <c r="L125" s="40" t="str">
        <f>IMSUM(IMPRODUCT(COMPLEX(-(Ported!C$14/Ported!C$24),0),H125),IMDIV(IMPRODUCT(COMPLEX(-Ported!C$41,0),J125),IMSUM(COMPLEX(Ported!C$41,0),IMPRODUCT(COMPLEX(Ported!C$42,0),C125))),IMDIV(IMPRODUCT(COMPLEX(Ported!C$42*Ported!C$14/Ported!C$24,0),C125,H125),IMSUM(COMPLEX(Ported!C$41,0),IMPRODUCT(COMPLEX(Ported!C$42,0),C125))))</f>
        <v>3.46242737132545E-06-5.37496106678069E-06i</v>
      </c>
      <c r="M125" s="28">
        <f t="shared" si="13"/>
        <v>-57.211288861333351</v>
      </c>
      <c r="N125" s="39" t="str">
        <f>IMPRODUCT(COMPLEX((Ported!C$10*Ported!C$14)/(2*PI()),0),C125,C125,H125)</f>
        <v>0.0936230348168306+0.0560804841753283i</v>
      </c>
      <c r="O125" s="28">
        <f t="shared" si="14"/>
        <v>30.921737649519443</v>
      </c>
      <c r="P125" s="26" t="str">
        <f>IMPRODUCT(COMPLEX((Ported!C$10*Ported!C$24)/(2*PI()),0),C125,C125,J125)</f>
        <v>0.00454849125324731+0.00293003436077264i</v>
      </c>
      <c r="Q125" s="23">
        <f t="shared" si="15"/>
        <v>32.788711138674437</v>
      </c>
      <c r="R125" s="41" t="str">
        <f>IMPRODUCT(COMPLEX((Ported!C$10*Ported!C$24)/(2*PI()),0),C125,C125,L125)</f>
        <v>-0.00192545115136434+0.0029890085378483i</v>
      </c>
      <c r="S125" s="33">
        <f t="shared" si="16"/>
        <v>122.78871113866654</v>
      </c>
      <c r="T125" s="38">
        <f>IMABS(IMDIV(D125,IMSUB(COMPLEX(1,0),IMPRODUCT(COMPLEX(Ported!C$18,0),IMPRODUCT(C125,H125)))))</f>
        <v>6.9703706156509329</v>
      </c>
      <c r="U125" s="21">
        <f>20*LOG10(Ported!C$29*50000*IMABS(N125))</f>
        <v>104.56585854742222</v>
      </c>
      <c r="V125" s="22">
        <f>20*LOG10(Ported!C$29*50000*IMABS(P125))</f>
        <v>78.471435960959198</v>
      </c>
      <c r="W125" s="22">
        <f>20*LOG10(Ported!C$29*50000*IMABS(R125))</f>
        <v>74.824631794304977</v>
      </c>
      <c r="X125" s="28">
        <f>1000*Ported!C$29*IMABS(H125)</f>
        <v>1.0483598417928965</v>
      </c>
      <c r="Y125" s="28">
        <f>1000*Ported!C$29*IMABS(J125)</f>
        <v>0.30161293372746667</v>
      </c>
      <c r="Z125" s="28">
        <f>Ported!C$29*IMABS(IMPRODUCT(C125,J125))</f>
        <v>0.26152241360394124</v>
      </c>
      <c r="AA125" s="28">
        <f>1000*Ported!C$29*IMABS(L125)</f>
        <v>0.19820278502089347</v>
      </c>
      <c r="AB125" s="41" t="str">
        <f t="shared" si="17"/>
        <v>0.0962460749187136+0.0619995270739492i</v>
      </c>
      <c r="AC125" s="28">
        <f>20*LOG10(Ported!C$29*50000*IMABS(AB125))</f>
        <v>104.98174922822218</v>
      </c>
      <c r="AD125" s="28">
        <f t="shared" si="18"/>
        <v>177454.68161731175</v>
      </c>
      <c r="AE125" s="23">
        <f t="shared" si="19"/>
        <v>32.788711138674351</v>
      </c>
      <c r="AG125" s="64"/>
      <c r="AH125" s="1"/>
      <c r="AI125" s="1"/>
      <c r="AJ125" s="1"/>
      <c r="AK125" s="2"/>
      <c r="AL125" s="2"/>
      <c r="AM125" s="2"/>
      <c r="AN125" s="2"/>
      <c r="AO125" s="2"/>
      <c r="AP125" s="2"/>
      <c r="AQ125" s="3"/>
      <c r="AR125" s="3"/>
      <c r="AS125" s="2"/>
      <c r="AT125" s="8"/>
      <c r="AU125" s="8"/>
    </row>
    <row r="126" spans="2:47" x14ac:dyDescent="0.25">
      <c r="B126" s="25">
        <v>141</v>
      </c>
      <c r="C126" s="17" t="str">
        <f t="shared" si="10"/>
        <v>885.929128312322i</v>
      </c>
      <c r="D126" s="18" t="str">
        <f>COMPLEX(Ported!C$19,2*PI()*B126*Ported!C$20)</f>
        <v>6</v>
      </c>
      <c r="E126" s="19" t="str">
        <f>IMSUB(COMPLEX(1,0),IMDIV(COMPLEX(Ported!C$41,0),IMSUM(COMPLEX(Ported!C$41,0),IMPRODUCT(C126,COMPLEX(Ported!C$42,0)))))</f>
        <v>0.999076988397744+0.0303670817142172i</v>
      </c>
      <c r="F126" s="19" t="str">
        <f>IMDIV(IMPRODUCT(C126,COMPLEX((Ported!C$42*Ported!C$14/Ported!C$24),0)),IMSUM(COMPLEX(Ported!C$41,0),IMPRODUCT(C126,COMPLEX(Ported!C$42,0))))</f>
        <v>5.79775247153095+0.176223479377841i</v>
      </c>
      <c r="G126" s="30" t="str">
        <f>IMPRODUCT(F126,IMSUB(COMPLEX(1,0),IMDIV(IMPRODUCT(COMPLEX(Ported!C$41,0),E126),IMSUM(COMPLEX(0-(2*PI()*B126)^2*Ported!C$38,0),IMPRODUCT(C126,COMPLEX(0,0)),IMPRODUCT(COMPLEX(Ported!C$41,0),E126)))))</f>
        <v>6.07211365979688+0.193313921296792i</v>
      </c>
      <c r="H126" s="32" t="str">
        <f>IMDIV(COMPLEX(Ported!C$18,0),IMPRODUCT(D126,IMSUM(COMPLEX(Ported!C$16-(2*PI()*B126)^2*Ported!C$15,0),IMPRODUCT(C126,IMSUM(COMPLEX(Ported!C$17,0),IMDIV(COMPLEX(Ported!C$18^2,0),D126))),IMPRODUCT(COMPLEX(Ported!C$14*Ported!C$41/Ported!C$24,0),G126))))</f>
        <v>-0.0000280388986479041-0.0000163573478577371i</v>
      </c>
      <c r="I126" s="27">
        <f t="shared" si="11"/>
        <v>-149.7415447956638</v>
      </c>
      <c r="J126" s="20" t="str">
        <f>IMPRODUCT(IMDIV(IMPRODUCT(COMPLEX(-Ported!C$41,0),F126),IMSUM(IMPRODUCT(COMPLEX(Ported!C$41,0),E126),COMPLEX(Calculations!C$3-(2*PI()*B126)^2*Ported!C$38,0),IMPRODUCT(COMPLEX(Calculations!C$4,0),C126))),H126)</f>
        <v>-7.56420445582634E-06-4.74169238621477E-06i</v>
      </c>
      <c r="K126" s="27">
        <f t="shared" si="12"/>
        <v>-147.91807233718339</v>
      </c>
      <c r="L126" s="40" t="str">
        <f>IMSUM(IMPRODUCT(COMPLEX(-(Ported!C$14/Ported!C$24),0),H126),IMDIV(IMPRODUCT(COMPLEX(-Ported!C$41,0),J126),IMSUM(COMPLEX(Ported!C$41,0),IMPRODUCT(COMPLEX(Ported!C$42,0),C126))),IMDIV(IMPRODUCT(COMPLEX(Ported!C$42*Ported!C$14/Ported!C$24,0),C126,H126),IMSUM(COMPLEX(Ported!C$41,0),IMPRODUCT(COMPLEX(Ported!C$42,0),C126))))</f>
        <v>3.18370774502944E-06-5.07882299176922E-06i</v>
      </c>
      <c r="M126" s="28">
        <f t="shared" si="13"/>
        <v>-57.918072337187809</v>
      </c>
      <c r="N126" s="39" t="str">
        <f>IMPRODUCT(COMPLEX((Ported!C$10*Ported!C$14)/(2*PI()),0),C126,C126,H126)</f>
        <v>0.0944612198627961+0.0551068375318458i</v>
      </c>
      <c r="O126" s="28">
        <f t="shared" si="14"/>
        <v>30.258455204336222</v>
      </c>
      <c r="P126" s="26" t="str">
        <f>IMPRODUCT(COMPLEX((Ported!C$10*Ported!C$24)/(2*PI()),0),C126,C126,J126)</f>
        <v>0.00439132059218408+0.00275274042881654i</v>
      </c>
      <c r="Q126" s="23">
        <f t="shared" si="15"/>
        <v>32.081927662816589</v>
      </c>
      <c r="R126" s="41" t="str">
        <f>IMPRODUCT(COMPLEX((Ported!C$10*Ported!C$24)/(2*PI()),0),C126,C126,L126)</f>
        <v>-0.00184826857363369+0.00294845811189509i</v>
      </c>
      <c r="S126" s="33">
        <f t="shared" si="16"/>
        <v>122.08192766281223</v>
      </c>
      <c r="T126" s="38">
        <f>IMABS(IMDIV(D126,IMSUB(COMPLEX(1,0),IMPRODUCT(COMPLEX(Ported!C$18,0),IMPRODUCT(C126,H126)))))</f>
        <v>6.9240767584562741</v>
      </c>
      <c r="U126" s="21">
        <f>20*LOG10(Ported!C$29*50000*IMABS(N126))</f>
        <v>104.58383159298718</v>
      </c>
      <c r="V126" s="22">
        <f>20*LOG10(Ported!C$29*50000*IMABS(P126))</f>
        <v>78.097900422541514</v>
      </c>
      <c r="W126" s="22">
        <f>20*LOG10(Ported!C$29*50000*IMABS(R126))</f>
        <v>74.637896780970493</v>
      </c>
      <c r="X126" s="28">
        <f>1000*Ported!C$29*IMABS(H126)</f>
        <v>1.0063034842132481</v>
      </c>
      <c r="Y126" s="28">
        <f>1000*Ported!C$29*IMABS(J126)</f>
        <v>0.27675350610491639</v>
      </c>
      <c r="Z126" s="28">
        <f>Ported!C$29*IMABS(IMPRODUCT(C126,J126))</f>
        <v>0.24518399242090749</v>
      </c>
      <c r="AA126" s="28">
        <f>1000*Ported!C$29*IMABS(L126)</f>
        <v>0.18582021124186737</v>
      </c>
      <c r="AB126" s="41" t="str">
        <f t="shared" si="17"/>
        <v>0.0970042718813465+0.0608080360725574i</v>
      </c>
      <c r="AC126" s="28">
        <f>20*LOG10(Ported!C$29*50000*IMABS(AB126))</f>
        <v>104.98181473997022</v>
      </c>
      <c r="AD126" s="28">
        <f t="shared" si="18"/>
        <v>177456.02004212624</v>
      </c>
      <c r="AE126" s="23">
        <f t="shared" si="19"/>
        <v>32.081927662816561</v>
      </c>
      <c r="AG126" s="64"/>
      <c r="AH126" s="1"/>
      <c r="AI126" s="1"/>
      <c r="AJ126" s="1"/>
      <c r="AK126" s="2"/>
      <c r="AL126" s="2"/>
      <c r="AM126" s="2"/>
      <c r="AN126" s="2"/>
      <c r="AO126" s="2"/>
      <c r="AP126" s="2"/>
      <c r="AQ126" s="3"/>
      <c r="AR126" s="3"/>
      <c r="AS126" s="2"/>
      <c r="AT126" s="8"/>
      <c r="AU126" s="8"/>
    </row>
    <row r="127" spans="2:47" x14ac:dyDescent="0.25">
      <c r="B127" s="25">
        <v>145</v>
      </c>
      <c r="C127" s="17" t="str">
        <f t="shared" si="10"/>
        <v>911.06186954104i</v>
      </c>
      <c r="D127" s="18" t="str">
        <f>COMPLEX(Ported!C$19,2*PI()*B127*Ported!C$20)</f>
        <v>6</v>
      </c>
      <c r="E127" s="19" t="str">
        <f>IMSUB(COMPLEX(1,0),IMDIV(COMPLEX(Ported!C$41,0),IMSUM(COMPLEX(Ported!C$41,0),IMPRODUCT(C127,COMPLEX(Ported!C$42,0)))))</f>
        <v>0.999127166929325+0.0295308522245121i</v>
      </c>
      <c r="F127" s="19" t="str">
        <f>IMDIV(IMPRODUCT(C127,COMPLEX((Ported!C$42*Ported!C$14/Ported!C$24),0)),IMSUM(COMPLEX(Ported!C$41,0),IMPRODUCT(C127,COMPLEX(Ported!C$42,0))))</f>
        <v>5.79804366300954+0.171370748660381i</v>
      </c>
      <c r="G127" s="30" t="str">
        <f>IMPRODUCT(F127,IMSUB(COMPLEX(1,0),IMDIV(IMPRODUCT(COMPLEX(Ported!C$41,0),E127),IMSUM(COMPLEX(0-(2*PI()*B127)^2*Ported!C$38,0),IMPRODUCT(C127,COMPLEX(0,0)),IMPRODUCT(COMPLEX(Ported!C$41,0),E127)))))</f>
        <v>6.05685164321789+0.187026119950296i</v>
      </c>
      <c r="H127" s="32" t="str">
        <f>IMDIV(COMPLEX(Ported!C$18,0),IMPRODUCT(D127,IMSUM(COMPLEX(Ported!C$16-(2*PI()*B127)^2*Ported!C$15,0),IMPRODUCT(C127,IMSUM(COMPLEX(Ported!C$17,0),IMDIV(COMPLEX(Ported!C$18^2,0),D127))),IMPRODUCT(COMPLEX(Ported!C$14*Ported!C$41/Ported!C$24,0),G127))))</f>
        <v>-0.000026805903365863-0.0000151150061748192i</v>
      </c>
      <c r="I127" s="27">
        <f t="shared" si="11"/>
        <v>-150.58271547972817</v>
      </c>
      <c r="J127" s="20" t="str">
        <f>IMPRODUCT(IMDIV(IMPRODUCT(COMPLEX(-Ported!C$41,0),F127),IMSUM(IMPRODUCT(COMPLEX(Ported!C$41,0),E127),COMPLEX(Calculations!C$3-(2*PI()*B127)^2*Ported!C$38,0),IMPRODUCT(COMPLEX(Calculations!C$4,0),C127))),H127)</f>
        <v>-6.82897650427631E-06-4.13348293350458E-06i</v>
      </c>
      <c r="K127" s="27">
        <f t="shared" si="12"/>
        <v>-148.81407326295806</v>
      </c>
      <c r="L127" s="40" t="str">
        <f>IMSUM(IMPRODUCT(COMPLEX(-(Ported!C$14/Ported!C$24),0),H127),IMDIV(IMPRODUCT(COMPLEX(-Ported!C$41,0),J127),IMSUM(COMPLEX(Ported!C$41,0),IMPRODUCT(COMPLEX(Ported!C$42,0),C127))),IMDIV(IMPRODUCT(COMPLEX(Ported!C$42*Ported!C$14/Ported!C$24,0),C127,H127),IMSUM(COMPLEX(Ported!C$41,0),IMPRODUCT(COMPLEX(Ported!C$42,0),C127))))</f>
        <v>2.85407154932465E-06-4.71524568152422E-06i</v>
      </c>
      <c r="M127" s="28">
        <f t="shared" si="13"/>
        <v>-58.814073262958104</v>
      </c>
      <c r="N127" s="39" t="str">
        <f>IMPRODUCT(COMPLEX((Ported!C$10*Ported!C$14)/(2*PI()),0),C127,C127,H127)</f>
        <v>0.0955038381889565+0.0538516118723066i</v>
      </c>
      <c r="O127" s="28">
        <f t="shared" si="14"/>
        <v>29.417284520271828</v>
      </c>
      <c r="P127" s="26" t="str">
        <f>IMPRODUCT(COMPLEX((Ported!C$10*Ported!C$24)/(2*PI()),0),C127,C127,J127)</f>
        <v>0.00419261788774324+0.00253773233439016i</v>
      </c>
      <c r="Q127" s="23">
        <f t="shared" si="15"/>
        <v>31.185926737041886</v>
      </c>
      <c r="R127" s="41" t="str">
        <f>IMPRODUCT(COMPLEX((Ported!C$10*Ported!C$24)/(2*PI()),0),C127,C127,L127)</f>
        <v>-0.00175224375469801+0.00289490282725135i</v>
      </c>
      <c r="S127" s="33">
        <f t="shared" si="16"/>
        <v>121.18592673704191</v>
      </c>
      <c r="T127" s="38">
        <f>IMABS(IMDIV(D127,IMSUB(COMPLEX(1,0),IMPRODUCT(COMPLEX(Ported!C$18,0),IMPRODUCT(C127,H127)))))</f>
        <v>6.8675066633261759</v>
      </c>
      <c r="U127" s="21">
        <f>20*LOG10(Ported!C$29*50000*IMABS(N127))</f>
        <v>104.60603242393987</v>
      </c>
      <c r="V127" s="22">
        <f>20*LOG10(Ported!C$29*50000*IMABS(P127))</f>
        <v>77.612025902664158</v>
      </c>
      <c r="W127" s="22">
        <f>20*LOG10(Ported!C$29*50000*IMABS(R127))</f>
        <v>74.395000052685447</v>
      </c>
      <c r="X127" s="28">
        <f>1000*Ported!C$29*IMABS(H127)</f>
        <v>0.9539843248789468</v>
      </c>
      <c r="Y127" s="28">
        <f>1000*Ported!C$29*IMABS(J127)</f>
        <v>0.24745807282949531</v>
      </c>
      <c r="Z127" s="28">
        <f>Ported!C$29*IMABS(IMPRODUCT(C127,J127))</f>
        <v>0.22544961446506287</v>
      </c>
      <c r="AA127" s="28">
        <f>1000*Ported!C$29*IMABS(L127)</f>
        <v>0.17086390742989327</v>
      </c>
      <c r="AB127" s="41" t="str">
        <f t="shared" si="17"/>
        <v>0.0979442123220017+0.0592842470339481i</v>
      </c>
      <c r="AC127" s="28">
        <f>20*LOG10(Ported!C$29*50000*IMABS(AB127))</f>
        <v>104.98189580327664</v>
      </c>
      <c r="AD127" s="28">
        <f t="shared" si="18"/>
        <v>177457.67620395389</v>
      </c>
      <c r="AE127" s="23">
        <f t="shared" si="19"/>
        <v>31.185926737041996</v>
      </c>
      <c r="AG127" s="64"/>
      <c r="AH127" s="1"/>
      <c r="AI127" s="1"/>
      <c r="AJ127" s="1"/>
      <c r="AK127" s="2"/>
      <c r="AL127" s="2"/>
      <c r="AM127" s="2"/>
      <c r="AN127" s="2"/>
      <c r="AO127" s="2"/>
      <c r="AP127" s="2"/>
      <c r="AQ127" s="3"/>
      <c r="AR127" s="3"/>
      <c r="AS127" s="2"/>
      <c r="AT127" s="8"/>
      <c r="AU127" s="8"/>
    </row>
    <row r="128" spans="2:47" x14ac:dyDescent="0.25">
      <c r="B128" s="25">
        <v>148</v>
      </c>
      <c r="C128" s="17" t="str">
        <f t="shared" si="10"/>
        <v>929.911425462579i</v>
      </c>
      <c r="D128" s="18" t="str">
        <f>COMPLEX(Ported!C$19,2*PI()*B128*Ported!C$20)</f>
        <v>6</v>
      </c>
      <c r="E128" s="19" t="str">
        <f>IMSUB(COMPLEX(1,0),IMDIV(COMPLEX(Ported!C$41,0),IMSUM(COMPLEX(Ported!C$41,0),IMPRODUCT(C128,COMPLEX(Ported!C$42,0)))))</f>
        <v>0.99916216407434+0.0289332672994501i</v>
      </c>
      <c r="F128" s="19" t="str">
        <f>IMDIV(IMPRODUCT(C128,COMPLEX((Ported!C$42*Ported!C$14/Ported!C$24),0)),IMSUM(COMPLEX(Ported!C$41,0),IMPRODUCT(C128,COMPLEX(Ported!C$42,0))))</f>
        <v>5.79824675525005+0.167902898318052i</v>
      </c>
      <c r="G128" s="30" t="str">
        <f>IMPRODUCT(F128,IMSUB(COMPLEX(1,0),IMDIV(IMPRODUCT(COMPLEX(Ported!C$41,0),E128),IMSUM(COMPLEX(0-(2*PI()*B128)^2*Ported!C$38,0),IMPRODUCT(C128,COMPLEX(0,0)),IMPRODUCT(COMPLEX(Ported!C$41,0),E128)))))</f>
        <v>6.0462522942785+0.182586719445253i</v>
      </c>
      <c r="H128" s="32" t="str">
        <f>IMDIV(COMPLEX(Ported!C$18,0),IMPRODUCT(D128,IMSUM(COMPLEX(Ported!C$16-(2*PI()*B128)^2*Ported!C$15,0),IMPRODUCT(C128,IMSUM(COMPLEX(Ported!C$17,0),IMDIV(COMPLEX(Ported!C$18^2,0),D128))),IMPRODUCT(COMPLEX(Ported!C$14*Ported!C$41/Ported!C$24,0),G128))))</f>
        <v>-0.0000259269606558254-0.0000142632429370857i</v>
      </c>
      <c r="I128" s="27">
        <f t="shared" si="11"/>
        <v>-151.18341322444738</v>
      </c>
      <c r="J128" s="20" t="str">
        <f>IMPRODUCT(IMDIV(IMPRODUCT(COMPLEX(-Ported!C$41,0),F128),IMSUM(IMPRODUCT(COMPLEX(Ported!C$41,0),E128),COMPLEX(Calculations!C$3-(2*PI()*B128)^2*Ported!C$38,0),IMPRODUCT(COMPLEX(Calculations!C$4,0),C128))),H128)</f>
        <v>-6.33404857337367E-06-3.73793716312933E-06i</v>
      </c>
      <c r="K128" s="27">
        <f t="shared" si="12"/>
        <v>-149.45370206102965</v>
      </c>
      <c r="L128" s="40" t="str">
        <f>IMSUM(IMPRODUCT(COMPLEX(-(Ported!C$14/Ported!C$24),0),H128),IMDIV(IMPRODUCT(COMPLEX(-Ported!C$41,0),J128),IMSUM(COMPLEX(Ported!C$41,0),IMPRODUCT(COMPLEX(Ported!C$42,0),C128))),IMDIV(IMPRODUCT(COMPLEX(Ported!C$42*Ported!C$14/Ported!C$24,0),C128,H128),IMSUM(COMPLEX(Ported!C$41,0),IMPRODUCT(COMPLEX(Ported!C$42,0),C128))))</f>
        <v>2.63435571496801E-06-4.46399613742519E-06i</v>
      </c>
      <c r="M128" s="28">
        <f t="shared" si="13"/>
        <v>-59.453702061022895</v>
      </c>
      <c r="N128" s="39" t="str">
        <f>IMPRODUCT(COMPLEX((Ported!C$10*Ported!C$14)/(2*PI()),0),C128,C128,H128)</f>
        <v>0.0962341939493031+0.0529414806993633i</v>
      </c>
      <c r="O128" s="28">
        <f t="shared" si="14"/>
        <v>28.816586775552604</v>
      </c>
      <c r="P128" s="26" t="str">
        <f>IMPRODUCT(COMPLEX((Ported!C$10*Ported!C$24)/(2*PI()),0),C128,C128,J128)</f>
        <v>0.00405133802498863+0.00239083214922965i</v>
      </c>
      <c r="Q128" s="23">
        <f t="shared" si="15"/>
        <v>30.546297938970334</v>
      </c>
      <c r="R128" s="41" t="str">
        <f>IMPRODUCT(COMPLEX((Ported!C$10*Ported!C$24)/(2*PI()),0),C128,C128,L128)</f>
        <v>-0.00168496741945752+0.00285522870332528i</v>
      </c>
      <c r="S128" s="33">
        <f t="shared" si="16"/>
        <v>120.54629793897712</v>
      </c>
      <c r="T128" s="38">
        <f>IMABS(IMDIV(D128,IMSUB(COMPLEX(1,0),IMPRODUCT(COMPLEX(Ported!C$18,0),IMPRODUCT(C128,H128)))))</f>
        <v>6.828532600067768</v>
      </c>
      <c r="U128" s="21">
        <f>20*LOG10(Ported!C$29*50000*IMABS(N128))</f>
        <v>104.6214826165351</v>
      </c>
      <c r="V128" s="22">
        <f>20*LOG10(Ported!C$29*50000*IMABS(P128))</f>
        <v>77.256333916564145</v>
      </c>
      <c r="W128" s="22">
        <f>20*LOG10(Ported!C$29*50000*IMABS(R128))</f>
        <v>74.217182329785388</v>
      </c>
      <c r="X128" s="28">
        <f>1000*Ported!C$29*IMABS(H128)</f>
        <v>0.91733153210915663</v>
      </c>
      <c r="Y128" s="28">
        <f>1000*Ported!C$29*IMABS(J128)</f>
        <v>0.22799724579106506</v>
      </c>
      <c r="Z128" s="28">
        <f>Ported!C$29*IMABS(IMPRODUCT(C128,J128))</f>
        <v>0.21201724383511109</v>
      </c>
      <c r="AA128" s="28">
        <f>1000*Ported!C$29*IMABS(L128)</f>
        <v>0.16068377322418806</v>
      </c>
      <c r="AB128" s="41" t="str">
        <f t="shared" si="17"/>
        <v>0.0986005645548342+0.0581875415519182i</v>
      </c>
      <c r="AC128" s="28">
        <f>20*LOG10(Ported!C$29*50000*IMABS(AB128))</f>
        <v>104.98195234357594</v>
      </c>
      <c r="AD128" s="28">
        <f t="shared" si="18"/>
        <v>177458.83135825582</v>
      </c>
      <c r="AE128" s="23">
        <f t="shared" si="19"/>
        <v>30.546297938970444</v>
      </c>
      <c r="AG128" s="64"/>
      <c r="AH128" s="1"/>
      <c r="AI128" s="1"/>
      <c r="AJ128" s="1"/>
      <c r="AK128" s="2"/>
      <c r="AL128" s="2"/>
      <c r="AM128" s="2"/>
      <c r="AN128" s="2"/>
      <c r="AO128" s="2"/>
      <c r="AP128" s="2"/>
      <c r="AQ128" s="3"/>
      <c r="AR128" s="3"/>
      <c r="AS128" s="2"/>
      <c r="AT128" s="8"/>
      <c r="AU128" s="8"/>
    </row>
    <row r="129" spans="2:47" x14ac:dyDescent="0.25">
      <c r="B129" s="25">
        <v>151</v>
      </c>
      <c r="C129" s="17" t="str">
        <f t="shared" si="10"/>
        <v>948.760981384117i</v>
      </c>
      <c r="D129" s="18" t="str">
        <f>COMPLEX(Ported!C$19,2*PI()*B129*Ported!C$20)</f>
        <v>6</v>
      </c>
      <c r="E129" s="19" t="str">
        <f>IMSUB(COMPLEX(1,0),IMDIV(COMPLEX(Ported!C$41,0),IMSUM(COMPLEX(Ported!C$41,0),IMPRODUCT(C129,COMPLEX(Ported!C$42,0)))))</f>
        <v>0.999195098327683+0.0283593689213156i</v>
      </c>
      <c r="F129" s="19" t="str">
        <f>IMDIV(IMPRODUCT(C129,COMPLEX((Ported!C$42*Ported!C$14/Ported!C$24),0)),IMSUM(COMPLEX(Ported!C$41,0),IMPRODUCT(C129,COMPLEX(Ported!C$42,0))))</f>
        <v>5.79843787630574+0.164572503584837i</v>
      </c>
      <c r="G129" s="30" t="str">
        <f>IMPRODUCT(F129,IMSUB(COMPLEX(1,0),IMDIV(IMPRODUCT(COMPLEX(Ported!C$41,0),E129),IMSUM(COMPLEX(0-(2*PI()*B129)^2*Ported!C$38,0),IMPRODUCT(C129,COMPLEX(0,0)),IMPRODUCT(COMPLEX(Ported!C$41,0),E129)))))</f>
        <v>6.03631143673476+0.17836426783127i</v>
      </c>
      <c r="H129" s="32" t="str">
        <f>IMDIV(COMPLEX(Ported!C$18,0),IMPRODUCT(D129,IMSUM(COMPLEX(Ported!C$16-(2*PI()*B129)^2*Ported!C$15,0),IMPRODUCT(C129,IMSUM(COMPLEX(Ported!C$17,0),IMDIV(COMPLEX(Ported!C$18^2,0),D129))),IMPRODUCT(COMPLEX(Ported!C$14*Ported!C$41/Ported!C$24,0),G129))))</f>
        <v>-0.0000250854884746561-0.0000134732879884164i</v>
      </c>
      <c r="I129" s="27">
        <f t="shared" si="11"/>
        <v>-151.75998123246561</v>
      </c>
      <c r="J129" s="20" t="str">
        <f>IMPRODUCT(IMDIV(IMPRODUCT(COMPLEX(-Ported!C$41,0),F129),IMSUM(IMPRODUCT(COMPLEX(Ported!C$41,0),E129),COMPLEX(Calculations!C$3-(2*PI()*B129)^2*Ported!C$38,0),IMPRODUCT(COMPLEX(Calculations!C$4,0),C129))),H129)</f>
        <v>-5.88213679424057E-06-3.38682450085011E-06i</v>
      </c>
      <c r="K129" s="27">
        <f t="shared" si="12"/>
        <v>-150.06746633356161</v>
      </c>
      <c r="L129" s="40" t="str">
        <f>IMSUM(IMPRODUCT(COMPLEX(-(Ported!C$14/Ported!C$24),0),H129),IMDIV(IMPRODUCT(COMPLEX(-Ported!C$41,0),J129),IMSUM(COMPLEX(Ported!C$41,0),IMPRODUCT(COMPLEX(Ported!C$42,0),C129))),IMDIV(IMPRODUCT(COMPLEX(Ported!C$42*Ported!C$14/Ported!C$24,0),C129,H129),IMSUM(COMPLEX(Ported!C$41,0),IMPRODUCT(COMPLEX(Ported!C$42,0),C129))))</f>
        <v>2.43528809346785E-06-4.22953645681144E-06i</v>
      </c>
      <c r="M129" s="28">
        <f t="shared" si="13"/>
        <v>-60.067466333569485</v>
      </c>
      <c r="N129" s="39" t="str">
        <f>IMPRODUCT(COMPLEX((Ported!C$10*Ported!C$14)/(2*PI()),0),C129,C129,H129)</f>
        <v>0.0969238887409852+0.0520573265808182i</v>
      </c>
      <c r="O129" s="28">
        <f t="shared" si="14"/>
        <v>28.240018767534405</v>
      </c>
      <c r="P129" s="26" t="str">
        <f>IMPRODUCT(COMPLEX((Ported!C$10*Ported!C$24)/(2*PI()),0),C129,C129,J129)</f>
        <v>0.00391636061773404+0.00225496729475816i</v>
      </c>
      <c r="Q129" s="23">
        <f t="shared" si="15"/>
        <v>29.932533666438321</v>
      </c>
      <c r="R129" s="41" t="str">
        <f>IMPRODUCT(COMPLEX((Ported!C$10*Ported!C$24)/(2*PI()),0),C129,C129,L129)</f>
        <v>-0.00162142886432573+0.00281604977751377i</v>
      </c>
      <c r="S129" s="33">
        <f t="shared" si="16"/>
        <v>119.93253366643042</v>
      </c>
      <c r="T129" s="38">
        <f>IMABS(IMDIV(D129,IMSUB(COMPLEX(1,0),IMPRODUCT(COMPLEX(Ported!C$18,0),IMPRODUCT(C129,H129)))))</f>
        <v>6.792210938008866</v>
      </c>
      <c r="U129" s="21">
        <f>20*LOG10(Ported!C$29*50000*IMABS(N129))</f>
        <v>104.63599683227299</v>
      </c>
      <c r="V129" s="22">
        <f>20*LOG10(Ported!C$29*50000*IMABS(P129))</f>
        <v>76.907777872910444</v>
      </c>
      <c r="W129" s="22">
        <f>20*LOG10(Ported!C$29*50000*IMABS(R129))</f>
        <v>74.042930924095515</v>
      </c>
      <c r="X129" s="28">
        <f>1000*Ported!C$29*IMABS(H129)</f>
        <v>0.88271715945873874</v>
      </c>
      <c r="Y129" s="28">
        <f>1000*Ported!C$29*IMABS(J129)</f>
        <v>0.21041240229737967</v>
      </c>
      <c r="Z129" s="28">
        <f>Ported!C$29*IMABS(IMPRODUCT(C129,J129))</f>
        <v>0.19963107729905161</v>
      </c>
      <c r="AA129" s="28">
        <f>1000*Ported!C$29*IMABS(L129)</f>
        <v>0.1512965368900217</v>
      </c>
      <c r="AB129" s="41" t="str">
        <f t="shared" si="17"/>
        <v>0.0992188204943935+0.0571283436530901i</v>
      </c>
      <c r="AC129" s="28">
        <f>20*LOG10(Ported!C$29*50000*IMABS(AB129))</f>
        <v>104.98200557585076</v>
      </c>
      <c r="AD129" s="28">
        <f t="shared" si="18"/>
        <v>177459.91893438442</v>
      </c>
      <c r="AE129" s="23">
        <f t="shared" si="19"/>
        <v>29.932533666438378</v>
      </c>
      <c r="AG129" s="64"/>
      <c r="AH129" s="1"/>
      <c r="AI129" s="1"/>
      <c r="AJ129" s="1"/>
      <c r="AK129" s="2"/>
      <c r="AL129" s="2"/>
      <c r="AM129" s="2"/>
      <c r="AN129" s="2"/>
      <c r="AO129" s="2"/>
      <c r="AP129" s="2"/>
      <c r="AQ129" s="3"/>
      <c r="AR129" s="3"/>
      <c r="AS129" s="2"/>
      <c r="AT129" s="8"/>
      <c r="AU129" s="8"/>
    </row>
    <row r="130" spans="2:47" x14ac:dyDescent="0.25">
      <c r="B130" s="25">
        <v>155</v>
      </c>
      <c r="C130" s="17" t="str">
        <f t="shared" si="10"/>
        <v>973.893722612836i</v>
      </c>
      <c r="D130" s="18" t="str">
        <f>COMPLEX(Ported!C$19,2*PI()*B130*Ported!C$20)</f>
        <v>6</v>
      </c>
      <c r="E130" s="19" t="str">
        <f>IMSUB(COMPLEX(1,0),IMDIV(COMPLEX(Ported!C$41,0),IMSUM(COMPLEX(Ported!C$41,0),IMPRODUCT(C130,COMPLEX(Ported!C$42,0)))))</f>
        <v>0.999236074270557+0.0276286472148542i</v>
      </c>
      <c r="F130" s="19" t="str">
        <f>IMDIV(IMPRODUCT(C130,COMPLEX((Ported!C$42*Ported!C$14/Ported!C$24),0)),IMSUM(COMPLEX(Ported!C$41,0),IMPRODUCT(C130,COMPLEX(Ported!C$42,0))))</f>
        <v>5.79867566416075+0.160332046013662i</v>
      </c>
      <c r="G130" s="30" t="str">
        <f>IMPRODUCT(F130,IMSUB(COMPLEX(1,0),IMDIV(IMPRODUCT(COMPLEX(Ported!C$41,0),E130),IMSUM(COMPLEX(0-(2*PI()*B130)^2*Ported!C$38,0),IMPRODUCT(C130,COMPLEX(0,0)),IMPRODUCT(COMPLEX(Ported!C$41,0),E130)))))</f>
        <v>6.02398868140036+0.173044308068027i</v>
      </c>
      <c r="H130" s="32" t="str">
        <f>IMDIV(COMPLEX(Ported!C$18,0),IMPRODUCT(D130,IMSUM(COMPLEX(Ported!C$16-(2*PI()*B130)^2*Ported!C$15,0),IMPRODUCT(C130,IMSUM(COMPLEX(Ported!C$17,0),IMDIV(COMPLEX(Ported!C$18^2,0),D130))),IMPRODUCT(COMPLEX(Ported!C$14*Ported!C$41/Ported!C$24,0),G130))))</f>
        <v>-0.0000240190310731103-0.0000125068945290804i</v>
      </c>
      <c r="I130" s="27">
        <f t="shared" si="11"/>
        <v>-152.4936597452967</v>
      </c>
      <c r="J130" s="20" t="str">
        <f>IMPRODUCT(IMDIV(IMPRODUCT(COMPLEX(-Ported!C$41,0),F130),IMSUM(IMPRODUCT(COMPLEX(Ported!C$41,0),E130),COMPLEX(Calculations!C$3-(2*PI()*B130)^2*Ported!C$38,0),IMPRODUCT(COMPLEX(Calculations!C$4,0),C130))),H130)</f>
        <v>-5.33916803211155E-06-2.97806338920472E-06i</v>
      </c>
      <c r="K130" s="27">
        <f t="shared" si="12"/>
        <v>-150.84824119128839</v>
      </c>
      <c r="L130" s="40" t="str">
        <f>IMSUM(IMPRODUCT(COMPLEX(-(Ported!C$14/Ported!C$24),0),H130),IMDIV(IMPRODUCT(COMPLEX(-Ported!C$41,0),J130),IMSUM(COMPLEX(Ported!C$41,0),IMPRODUCT(COMPLEX(Ported!C$42,0),C130))),IMDIV(IMPRODUCT(COMPLEX(Ported!C$42*Ported!C$14/Ported!C$24,0),C130,H130),IMSUM(COMPLEX(Ported!C$41,0),IMPRODUCT(COMPLEX(Ported!C$42,0),C130))))</f>
        <v>2.19809440631737E-06-3.94081449989191E-06i</v>
      </c>
      <c r="M130" s="28">
        <f t="shared" si="13"/>
        <v>-60.848241191293148</v>
      </c>
      <c r="N130" s="39" t="str">
        <f>IMPRODUCT(COMPLEX((Ported!C$10*Ported!C$14)/(2*PI()),0),C130,C130,H130)</f>
        <v>0.0977852282780137+0.0509175217290228i</v>
      </c>
      <c r="O130" s="28">
        <f t="shared" si="14"/>
        <v>27.5063402547033</v>
      </c>
      <c r="P130" s="26" t="str">
        <f>IMPRODUCT(COMPLEX((Ported!C$10*Ported!C$24)/(2*PI()),0),C130,C130,J130)</f>
        <v>0.00374567976900676+0.00208925280505777i</v>
      </c>
      <c r="Q130" s="23">
        <f t="shared" si="15"/>
        <v>29.151758808711616</v>
      </c>
      <c r="R130" s="41" t="str">
        <f>IMPRODUCT(COMPLEX((Ported!C$10*Ported!C$24)/(2*PI()),0),C130,C130,L130)</f>
        <v>-0.00154206754658998+0.0027646684009336i</v>
      </c>
      <c r="S130" s="33">
        <f t="shared" si="16"/>
        <v>119.15175880870686</v>
      </c>
      <c r="T130" s="38">
        <f>IMABS(IMDIV(D130,IMSUB(COMPLEX(1,0),IMPRODUCT(COMPLEX(Ported!C$18,0),IMPRODUCT(C130,H130)))))</f>
        <v>6.7474940175323628</v>
      </c>
      <c r="U130" s="21">
        <f>20*LOG10(Ported!C$29*50000*IMABS(N130))</f>
        <v>104.65402098215692</v>
      </c>
      <c r="V130" s="22">
        <f>20*LOG10(Ported!C$29*50000*IMABS(P130))</f>
        <v>76.453654128686125</v>
      </c>
      <c r="W130" s="22">
        <f>20*LOG10(Ported!C$29*50000*IMABS(R130))</f>
        <v>73.815902197413294</v>
      </c>
      <c r="X130" s="28">
        <f>1000*Ported!C$29*IMABS(H130)</f>
        <v>0.83948564617802046</v>
      </c>
      <c r="Y130" s="28">
        <f>1000*Ported!C$29*IMABS(J130)</f>
        <v>0.18952026099881489</v>
      </c>
      <c r="Z130" s="28">
        <f>Ported!C$29*IMABS(IMPRODUCT(C130,J130))</f>
        <v>0.18457259249469216</v>
      </c>
      <c r="AA130" s="28">
        <f>1000*Ported!C$29*IMABS(L130)</f>
        <v>0.13988400216578736</v>
      </c>
      <c r="AB130" s="41" t="str">
        <f t="shared" si="17"/>
        <v>0.0999888405004305+0.0557714429350142i</v>
      </c>
      <c r="AC130" s="28">
        <f>20*LOG10(Ported!C$29*50000*IMABS(AB130))</f>
        <v>104.98207186671129</v>
      </c>
      <c r="AD130" s="28">
        <f t="shared" si="18"/>
        <v>177461.27331673529</v>
      </c>
      <c r="AE130" s="23">
        <f t="shared" si="19"/>
        <v>29.151758808711534</v>
      </c>
      <c r="AG130" s="64"/>
      <c r="AH130" s="1"/>
      <c r="AI130" s="1"/>
      <c r="AJ130" s="1"/>
      <c r="AK130" s="2"/>
      <c r="AL130" s="2"/>
      <c r="AM130" s="2"/>
      <c r="AN130" s="2"/>
      <c r="AO130" s="2"/>
      <c r="AP130" s="2"/>
      <c r="AQ130" s="3"/>
      <c r="AR130" s="3"/>
      <c r="AS130" s="2"/>
      <c r="AT130" s="8"/>
      <c r="AU130" s="8"/>
    </row>
    <row r="131" spans="2:47" x14ac:dyDescent="0.25">
      <c r="B131" s="25">
        <v>158</v>
      </c>
      <c r="C131" s="17" t="str">
        <f t="shared" si="10"/>
        <v>992.743278534375i</v>
      </c>
      <c r="D131" s="18" t="str">
        <f>COMPLEX(Ported!C$19,2*PI()*B131*Ported!C$20)</f>
        <v>6</v>
      </c>
      <c r="E131" s="19" t="str">
        <f>IMSUB(COMPLEX(1,0),IMDIV(COMPLEX(Ported!C$41,0),IMSUM(COMPLEX(Ported!C$41,0),IMPRODUCT(C131,COMPLEX(Ported!C$42,0)))))</f>
        <v>0.999264787572623+0.0271048314893117i</v>
      </c>
      <c r="F131" s="19" t="str">
        <f>IMDIV(IMPRODUCT(C131,COMPLEX((Ported!C$42*Ported!C$14/Ported!C$24),0)),IMSUM(COMPLEX(Ported!C$41,0),IMPRODUCT(C131,COMPLEX(Ported!C$42,0))))</f>
        <v>5.79884229057689+0.157292286362846i</v>
      </c>
      <c r="G131" s="30" t="str">
        <f>IMPRODUCT(F131,IMSUB(COMPLEX(1,0),IMDIV(IMPRODUCT(COMPLEX(Ported!C$41,0),E131),IMSUM(COMPLEX(0-(2*PI()*B131)^2*Ported!C$38,0),IMPRODUCT(C131,COMPLEX(0,0)),IMPRODUCT(COMPLEX(Ported!C$41,0),E131)))))</f>
        <v>6.01538353657679+0.169268367468739i</v>
      </c>
      <c r="H131" s="32" t="str">
        <f>IMDIV(COMPLEX(Ported!C$18,0),IMPRODUCT(D131,IMSUM(COMPLEX(Ported!C$16-(2*PI()*B131)^2*Ported!C$15,0),IMPRODUCT(C131,IMSUM(COMPLEX(Ported!C$17,0),IMDIV(COMPLEX(Ported!C$18^2,0),D131))),IMPRODUCT(COMPLEX(Ported!C$14*Ported!C$41/Ported!C$24,0),G131))))</f>
        <v>-0.0000232587608627974-0.0000118410648803075i</v>
      </c>
      <c r="I131" s="27">
        <f t="shared" si="11"/>
        <v>-153.01929746982881</v>
      </c>
      <c r="J131" s="20" t="str">
        <f>IMPRODUCT(IMDIV(IMPRODUCT(COMPLEX(-Ported!C$41,0),F131),IMSUM(IMPRODUCT(COMPLEX(Ported!C$41,0),E131),COMPLEX(Calculations!C$3-(2*PI()*B131)^2*Ported!C$38,0),IMPRODUCT(COMPLEX(Calculations!C$4,0),C131))),H131)</f>
        <v>-0.00000497177713942-2.70986089150048E-06i</v>
      </c>
      <c r="K131" s="27">
        <f t="shared" si="12"/>
        <v>-151.40746267319207</v>
      </c>
      <c r="L131" s="40" t="str">
        <f>IMSUM(IMPRODUCT(COMPLEX(-(Ported!C$14/Ported!C$24),0),H131),IMDIV(IMPRODUCT(COMPLEX(-Ported!C$41,0),J131),IMSUM(COMPLEX(Ported!C$41,0),IMPRODUCT(COMPLEX(Ported!C$42,0),C131))),IMDIV(IMPRODUCT(COMPLEX(Ported!C$42*Ported!C$14/Ported!C$24,0),C131,H131),IMSUM(COMPLEX(Ported!C$41,0),IMPRODUCT(COMPLEX(Ported!C$42,0),C131))))</f>
        <v>2.03884771836664E-06-0.0000037406704191829i</v>
      </c>
      <c r="M131" s="28">
        <f t="shared" si="13"/>
        <v>-61.407462673198161</v>
      </c>
      <c r="N131" s="39" t="str">
        <f>IMPRODUCT(COMPLEX((Ported!C$10*Ported!C$14)/(2*PI()),0),C131,C131,H131)</f>
        <v>0.098390942554138+0.0500909545994632i</v>
      </c>
      <c r="O131" s="28">
        <f t="shared" si="14"/>
        <v>26.9807025301712</v>
      </c>
      <c r="P131" s="26" t="str">
        <f>IMPRODUCT(COMPLEX((Ported!C$10*Ported!C$24)/(2*PI()),0),C131,C131,J131)</f>
        <v>0.00362426117731978+0.00197539900715423i</v>
      </c>
      <c r="Q131" s="23">
        <f t="shared" si="15"/>
        <v>28.592537326807943</v>
      </c>
      <c r="R131" s="41" t="str">
        <f>IMPRODUCT(COMPLEX((Ported!C$10*Ported!C$24)/(2*PI()),0),C131,C131,L131)</f>
        <v>-0.0014862525863348+0.00272682507626934i</v>
      </c>
      <c r="S131" s="33">
        <f t="shared" si="16"/>
        <v>118.59253732680178</v>
      </c>
      <c r="T131" s="38">
        <f>IMABS(IMDIV(D131,IMSUB(COMPLEX(1,0),IMPRODUCT(COMPLEX(Ported!C$18,0),IMPRODUCT(C131,H131)))))</f>
        <v>6.7164678013239865</v>
      </c>
      <c r="U131" s="21">
        <f>20*LOG10(Ported!C$29*50000*IMABS(N131))</f>
        <v>104.66662873334397</v>
      </c>
      <c r="V131" s="22">
        <f>20*LOG10(Ported!C$29*50000*IMABS(P131))</f>
        <v>76.120685085962492</v>
      </c>
      <c r="W131" s="22">
        <f>20*LOG10(Ported!C$29*50000*IMABS(R131))</f>
        <v>73.649440930372606</v>
      </c>
      <c r="X131" s="28">
        <f>1000*Ported!C$29*IMABS(H131)</f>
        <v>0.80908264359824345</v>
      </c>
      <c r="Y131" s="28">
        <f>1000*Ported!C$29*IMABS(J131)</f>
        <v>0.17553204644823325</v>
      </c>
      <c r="Z131" s="28">
        <f>Ported!C$29*IMABS(IMPRODUCT(C131,J131))</f>
        <v>0.17425825927886734</v>
      </c>
      <c r="AA131" s="28">
        <f>1000*Ported!C$29*IMABS(L131)</f>
        <v>0.13206696828009989</v>
      </c>
      <c r="AB131" s="41" t="str">
        <f t="shared" si="17"/>
        <v>0.100528951145123+0.0547931786828868i</v>
      </c>
      <c r="AC131" s="28">
        <f>20*LOG10(Ported!C$29*50000*IMABS(AB131))</f>
        <v>104.98211837535287</v>
      </c>
      <c r="AD131" s="28">
        <f t="shared" si="18"/>
        <v>177462.2235365973</v>
      </c>
      <c r="AE131" s="23">
        <f t="shared" si="19"/>
        <v>28.592537326807985</v>
      </c>
      <c r="AG131" s="64"/>
      <c r="AH131" s="1"/>
      <c r="AI131" s="1"/>
      <c r="AJ131" s="1"/>
      <c r="AK131" s="2"/>
      <c r="AL131" s="2"/>
      <c r="AM131" s="2"/>
      <c r="AN131" s="2"/>
      <c r="AO131" s="2"/>
      <c r="AP131" s="2"/>
      <c r="AQ131" s="3"/>
      <c r="AR131" s="3"/>
      <c r="AS131" s="2"/>
      <c r="AT131" s="8"/>
      <c r="AU131" s="8"/>
    </row>
    <row r="132" spans="2:47" x14ac:dyDescent="0.25">
      <c r="B132" s="25">
        <v>162</v>
      </c>
      <c r="C132" s="17" t="str">
        <f t="shared" si="10"/>
        <v>1017.87601976309i</v>
      </c>
      <c r="D132" s="18" t="str">
        <f>COMPLEX(Ported!C$19,2*PI()*B132*Ported!C$20)</f>
        <v>6</v>
      </c>
      <c r="E132" s="19" t="str">
        <f>IMSUB(COMPLEX(1,0),IMDIV(COMPLEX(Ported!C$41,0),IMSUM(COMPLEX(Ported!C$41,0),IMPRODUCT(C132,COMPLEX(Ported!C$42,0)))))</f>
        <v>0.999300621048509+0.0264365243663628i</v>
      </c>
      <c r="F132" s="19" t="str">
        <f>IMDIV(IMPRODUCT(C132,COMPLEX((Ported!C$42*Ported!C$14/Ported!C$24),0)),IMSUM(COMPLEX(Ported!C$41,0),IMPRODUCT(C132,COMPLEX(Ported!C$42,0))))</f>
        <v>5.79905023613642+0.153414027411017i</v>
      </c>
      <c r="G132" s="30" t="str">
        <f>IMPRODUCT(F132,IMSUB(COMPLEX(1,0),IMDIV(IMPRODUCT(COMPLEX(Ported!C$41,0),E132),IMSUM(COMPLEX(0-(2*PI()*B132)^2*Ported!C$38,0),IMPRODUCT(C132,COMPLEX(0,0)),IMPRODUCT(COMPLEX(Ported!C$41,0),E132)))))</f>
        <v>6.00467885874022+0.164495058021496i</v>
      </c>
      <c r="H132" s="32" t="str">
        <f>IMDIV(COMPLEX(Ported!C$18,0),IMPRODUCT(D132,IMSUM(COMPLEX(Ported!C$16-(2*PI()*B132)^2*Ported!C$15,0),IMPRODUCT(C132,IMSUM(COMPLEX(Ported!C$17,0),IMDIV(COMPLEX(Ported!C$18^2,0),D132))),IMPRODUCT(COMPLEX(Ported!C$14*Ported!C$41/Ported!C$24,0),G132))))</f>
        <v>-0.00002229489445986-0.0000110238697574956i</v>
      </c>
      <c r="I132" s="27">
        <f t="shared" si="11"/>
        <v>-153.68957767376003</v>
      </c>
      <c r="J132" s="20" t="str">
        <f>IMPRODUCT(IMDIV(IMPRODUCT(COMPLEX(-Ported!C$41,0),F132),IMSUM(IMPRODUCT(COMPLEX(Ported!C$41,0),E132),COMPLEX(Calculations!C$3-(2*PI()*B132)^2*Ported!C$38,0),IMPRODUCT(COMPLEX(Calculations!C$4,0),C132))),H132)</f>
        <v>-4.52881719223543E-06-2.39582296406369E-06i</v>
      </c>
      <c r="K132" s="27">
        <f t="shared" si="12"/>
        <v>-152.12038201776505</v>
      </c>
      <c r="L132" s="40" t="str">
        <f>IMSUM(IMPRODUCT(COMPLEX(-(Ported!C$14/Ported!C$24),0),H132),IMDIV(IMPRODUCT(COMPLEX(-Ported!C$41,0),J132),IMSUM(COMPLEX(Ported!C$41,0),IMPRODUCT(COMPLEX(Ported!C$42,0),C132))),IMDIV(IMPRODUCT(COMPLEX(Ported!C$42*Ported!C$14/Ported!C$24,0),C132,H132),IMSUM(COMPLEX(Ported!C$41,0),IMPRODUCT(COMPLEX(Ported!C$42,0),C132))))</f>
        <v>1.84820628656334E-06-3.49365897686747E-06i</v>
      </c>
      <c r="M132" s="28">
        <f t="shared" si="13"/>
        <v>-62.120382017767</v>
      </c>
      <c r="N132" s="39" t="str">
        <f>IMPRODUCT(COMPLEX((Ported!C$10*Ported!C$14)/(2*PI()),0),C132,C132,H132)</f>
        <v>0.0991493390640189+0.049025098654375i</v>
      </c>
      <c r="O132" s="28">
        <f t="shared" si="14"/>
        <v>26.310422326239955</v>
      </c>
      <c r="P132" s="26" t="str">
        <f>IMPRODUCT(COMPLEX((Ported!C$10*Ported!C$24)/(2*PI()),0),C132,C132,J132)</f>
        <v>0.00347063130333281+0.00183602424725356i</v>
      </c>
      <c r="Q132" s="23">
        <f t="shared" si="15"/>
        <v>27.879617982234929</v>
      </c>
      <c r="R132" s="41" t="str">
        <f>IMPRODUCT(COMPLEX((Ported!C$10*Ported!C$24)/(2*PI()),0),C132,C132,L132)</f>
        <v>-0.00141636156216697+0.00267734414828542i</v>
      </c>
      <c r="S132" s="33">
        <f t="shared" si="16"/>
        <v>117.87961798223293</v>
      </c>
      <c r="T132" s="38">
        <f>IMABS(IMDIV(D132,IMSUB(COMPLEX(1,0),IMPRODUCT(COMPLEX(Ported!C$18,0),IMPRODUCT(C132,H132)))))</f>
        <v>6.6780993955187098</v>
      </c>
      <c r="U132" s="21">
        <f>20*LOG10(Ported!C$29*50000*IMABS(N132))</f>
        <v>104.68233709034604</v>
      </c>
      <c r="V132" s="22">
        <f>20*LOG10(Ported!C$29*50000*IMABS(P132))</f>
        <v>75.686426107492252</v>
      </c>
      <c r="W132" s="22">
        <f>20*LOG10(Ported!C$29*50000*IMABS(R132))</f>
        <v>73.432340503666694</v>
      </c>
      <c r="X132" s="28">
        <f>1000*Ported!C$29*IMABS(H132)</f>
        <v>0.77101432573828865</v>
      </c>
      <c r="Y132" s="28">
        <f>1000*Ported!C$29*IMABS(J132)</f>
        <v>0.15882819924441963</v>
      </c>
      <c r="Z132" s="28">
        <f>Ported!C$29*IMABS(IMPRODUCT(C132,J132))</f>
        <v>0.1616674152730489</v>
      </c>
      <c r="AA132" s="28">
        <f>1000*Ported!C$29*IMABS(L132)</f>
        <v>0.12252461084569782</v>
      </c>
      <c r="AB132" s="41" t="str">
        <f t="shared" si="17"/>
        <v>0.101203608805185+0.053538467049914i</v>
      </c>
      <c r="AC132" s="28">
        <f>20*LOG10(Ported!C$29*50000*IMABS(AB132))</f>
        <v>104.98217650041101</v>
      </c>
      <c r="AD132" s="28">
        <f t="shared" si="18"/>
        <v>177463.4110990699</v>
      </c>
      <c r="AE132" s="23">
        <f t="shared" si="19"/>
        <v>27.879617982234947</v>
      </c>
      <c r="AG132" s="64"/>
      <c r="AH132" s="1"/>
      <c r="AI132" s="1"/>
      <c r="AJ132" s="1"/>
      <c r="AK132" s="2"/>
      <c r="AL132" s="2"/>
      <c r="AM132" s="2"/>
      <c r="AN132" s="2"/>
      <c r="AO132" s="2"/>
      <c r="AP132" s="2"/>
      <c r="AQ132" s="3"/>
      <c r="AR132" s="3"/>
      <c r="AS132" s="2"/>
      <c r="AT132" s="8"/>
      <c r="AU132" s="8"/>
    </row>
    <row r="133" spans="2:47" x14ac:dyDescent="0.25">
      <c r="B133" s="25">
        <v>166</v>
      </c>
      <c r="C133" s="17" t="str">
        <f t="shared" si="10"/>
        <v>1043.00876099181i</v>
      </c>
      <c r="D133" s="18" t="str">
        <f>COMPLEX(Ported!C$19,2*PI()*B133*Ported!C$20)</f>
        <v>6</v>
      </c>
      <c r="E133" s="19" t="str">
        <f>IMSUB(COMPLEX(1,0),IMDIV(COMPLEX(Ported!C$41,0),IMSUM(COMPLEX(Ported!C$41,0),IMPRODUCT(C133,COMPLEX(Ported!C$42,0)))))</f>
        <v>0.999333897793277+0.0258003588070555i</v>
      </c>
      <c r="F133" s="19" t="str">
        <f>IMDIV(IMPRODUCT(C133,COMPLEX((Ported!C$42*Ported!C$14/Ported!C$24),0)),IMSUM(COMPLEX(Ported!C$41,0),IMPRODUCT(C133,COMPLEX(Ported!C$42,0))))</f>
        <v>5.79924334470711+0.14972228945027i</v>
      </c>
      <c r="G133" s="30" t="str">
        <f>IMPRODUCT(F133,IMSUB(COMPLEX(1,0),IMDIV(IMPRODUCT(COMPLEX(Ported!C$41,0),E133),IMSUM(COMPLEX(0-(2*PI()*B133)^2*Ported!C$38,0),IMPRODUCT(C133,COMPLEX(0,0)),IMPRODUCT(COMPLEX(Ported!C$41,0),E133)))))</f>
        <v>5.9947719324505+0.159995949577707i</v>
      </c>
      <c r="H133" s="32" t="str">
        <f>IMDIV(COMPLEX(Ported!C$18,0),IMPRODUCT(D133,IMSUM(COMPLEX(Ported!C$16-(2*PI()*B133)^2*Ported!C$15,0),IMPRODUCT(C133,IMSUM(COMPLEX(Ported!C$17,0),IMDIV(COMPLEX(Ported!C$18^2,0),D133))),IMPRODUCT(COMPLEX(Ported!C$14*Ported!C$41/Ported!C$24,0),G133))))</f>
        <v>-0.0000213847422564153-0.0000102792513404798i</v>
      </c>
      <c r="I133" s="27">
        <f t="shared" si="11"/>
        <v>-154.32726439574949</v>
      </c>
      <c r="J133" s="20" t="str">
        <f>IMPRODUCT(IMDIV(IMPRODUCT(COMPLEX(-Ported!C$41,0),F133),IMSUM(IMPRODUCT(COMPLEX(Ported!C$41,0),E133),COMPLEX(Calculations!C$3-(2*PI()*B133)^2*Ported!C$38,0),IMPRODUCT(COMPLEX(Calculations!C$4,0),C133))),H133)</f>
        <v>-4.13328540695497E-06-2.12436186709509E-06i</v>
      </c>
      <c r="K133" s="27">
        <f t="shared" si="12"/>
        <v>-152.79844610857089</v>
      </c>
      <c r="L133" s="40" t="str">
        <f>IMSUM(IMPRODUCT(COMPLEX(-(Ported!C$14/Ported!C$24),0),H133),IMDIV(IMPRODUCT(COMPLEX(-Ported!C$41,0),J133),IMSUM(COMPLEX(Ported!C$41,0),IMPRODUCT(COMPLEX(Ported!C$42,0),C133))),IMDIV(IMPRODUCT(COMPLEX(Ported!C$42*Ported!C$14/Ported!C$24,0),C133,H133),IMSUM(COMPLEX(Ported!C$41,0),IMPRODUCT(COMPLEX(Ported!C$42,0),C133))))</f>
        <v>1.67925747589367E-06-3.26726370264066E-06i</v>
      </c>
      <c r="M133" s="28">
        <f t="shared" si="13"/>
        <v>-62.798446108578879</v>
      </c>
      <c r="N133" s="39" t="str">
        <f>IMPRODUCT(COMPLEX((Ported!C$10*Ported!C$14)/(2*PI()),0),C133,C133,H133)</f>
        <v>0.0998560930438217+0.0479989829181996i</v>
      </c>
      <c r="O133" s="28">
        <f t="shared" si="14"/>
        <v>25.672735604250484</v>
      </c>
      <c r="P133" s="26" t="str">
        <f>IMPRODUCT(COMPLEX((Ported!C$10*Ported!C$24)/(2*PI()),0),C133,C133,J133)</f>
        <v>0.00332586970162943+0.00170937887743726i</v>
      </c>
      <c r="Q133" s="23">
        <f t="shared" si="15"/>
        <v>27.201553891429164</v>
      </c>
      <c r="R133" s="41" t="str">
        <f>IMPRODUCT(COMPLEX((Ported!C$10*Ported!C$24)/(2*PI()),0),C133,C133,L133)</f>
        <v>-0.00135122330311663+0.00262902081176427i</v>
      </c>
      <c r="S133" s="33">
        <f t="shared" si="16"/>
        <v>117.20155389142106</v>
      </c>
      <c r="T133" s="38">
        <f>IMABS(IMDIV(D133,IMSUB(COMPLEX(1,0),IMPRODUCT(COMPLEX(Ported!C$18,0),IMPRODUCT(C133,H133)))))</f>
        <v>6.6428135110600355</v>
      </c>
      <c r="U133" s="21">
        <f>20*LOG10(Ported!C$29*50000*IMABS(N133))</f>
        <v>104.69689909772771</v>
      </c>
      <c r="V133" s="22">
        <f>20*LOG10(Ported!C$29*50000*IMABS(P133))</f>
        <v>75.262757244548865</v>
      </c>
      <c r="W133" s="22">
        <f>20*LOG10(Ported!C$29*50000*IMABS(R133))</f>
        <v>73.220533110671127</v>
      </c>
      <c r="X133" s="28">
        <f>1000*Ported!C$29*IMABS(H133)</f>
        <v>0.73553679127818028</v>
      </c>
      <c r="Y133" s="28">
        <f>1000*Ported!C$29*IMABS(J133)</f>
        <v>0.14406484684128804</v>
      </c>
      <c r="Z133" s="28">
        <f>Ported!C$29*IMABS(IMPRODUCT(C133,J133))</f>
        <v>0.15026089740640666</v>
      </c>
      <c r="AA133" s="28">
        <f>1000*Ported!C$29*IMABS(L133)</f>
        <v>0.11387983131263128</v>
      </c>
      <c r="AB133" s="41" t="str">
        <f t="shared" si="17"/>
        <v>0.101830739442335+0.0523373826074011i</v>
      </c>
      <c r="AC133" s="28">
        <f>20*LOG10(Ported!C$29*50000*IMABS(AB133))</f>
        <v>104.98223057736465</v>
      </c>
      <c r="AD133" s="28">
        <f t="shared" si="18"/>
        <v>177464.51596119974</v>
      </c>
      <c r="AE133" s="23">
        <f t="shared" si="19"/>
        <v>27.201553891428851</v>
      </c>
      <c r="AG133" s="64"/>
      <c r="AH133" s="1"/>
      <c r="AI133" s="1"/>
      <c r="AJ133" s="1"/>
      <c r="AK133" s="2"/>
      <c r="AL133" s="2"/>
      <c r="AM133" s="2"/>
      <c r="AN133" s="2"/>
      <c r="AO133" s="2"/>
      <c r="AP133" s="2"/>
      <c r="AQ133" s="3"/>
      <c r="AR133" s="3"/>
      <c r="AS133" s="2"/>
      <c r="AT133" s="8"/>
      <c r="AU133" s="8"/>
    </row>
    <row r="134" spans="2:47" x14ac:dyDescent="0.25">
      <c r="B134" s="25">
        <v>170</v>
      </c>
      <c r="C134" s="17" t="str">
        <f t="shared" si="10"/>
        <v>1068.14150222053i</v>
      </c>
      <c r="D134" s="18" t="str">
        <f>COMPLEX(Ported!C$19,2*PI()*B134*Ported!C$20)</f>
        <v>6</v>
      </c>
      <c r="E134" s="19" t="str">
        <f>IMSUB(COMPLEX(1,0),IMDIV(COMPLEX(Ported!C$41,0),IMSUM(COMPLEX(Ported!C$41,0),IMPRODUCT(C134,COMPLEX(Ported!C$42,0)))))</f>
        <v>0.999364855328158+0.0251940719830629i</v>
      </c>
      <c r="F134" s="19" t="str">
        <f>IMDIV(IMPRODUCT(C134,COMPLEX((Ported!C$42*Ported!C$14/Ported!C$24),0)),IMSUM(COMPLEX(Ported!C$41,0),IMPRODUCT(C134,COMPLEX(Ported!C$42,0))))</f>
        <v>5.79942299465047+0.146203941041609i</v>
      </c>
      <c r="G134" s="30" t="str">
        <f>IMPRODUCT(F134,IMSUB(COMPLEX(1,0),IMDIV(IMPRODUCT(COMPLEX(Ported!C$41,0),E134),IMSUM(COMPLEX(0-(2*PI()*B134)^2*Ported!C$38,0),IMPRODUCT(C134,COMPLEX(0,0)),IMPRODUCT(COMPLEX(Ported!C$41,0),E134)))))</f>
        <v>5.98558469590305+0.155747356883192i</v>
      </c>
      <c r="H134" s="32" t="str">
        <f>IMDIV(COMPLEX(Ported!C$18,0),IMPRODUCT(D134,IMSUM(COMPLEX(Ported!C$16-(2*PI()*B134)^2*Ported!C$15,0),IMPRODUCT(C134,IMSUM(COMPLEX(Ported!C$17,0),IMDIV(COMPLEX(Ported!C$18^2,0),D134))),IMPRODUCT(COMPLEX(Ported!C$14*Ported!C$41/Ported!C$24,0),G134))))</f>
        <v>-0.0000205249357256117-9.59943497587108E-06i</v>
      </c>
      <c r="I134" s="27">
        <f t="shared" si="11"/>
        <v>-154.93468543730404</v>
      </c>
      <c r="J134" s="20" t="str">
        <f>IMPRODUCT(IMDIV(IMPRODUCT(COMPLEX(-Ported!C$41,0),F134),IMSUM(IMPRODUCT(COMPLEX(Ported!C$41,0),E134),COMPLEX(Calculations!C$3-(2*PI()*B134)^2*Ported!C$38,0),IMPRODUCT(COMPLEX(Calculations!C$4,0),C134))),H134)</f>
        <v>-3.77933526244623E-06-1.88890802814244E-06i</v>
      </c>
      <c r="K134" s="27">
        <f t="shared" si="12"/>
        <v>-153.44416219966365</v>
      </c>
      <c r="L134" s="40" t="str">
        <f>IMSUM(IMPRODUCT(COMPLEX(-(Ported!C$14/Ported!C$24),0),H134),IMDIV(IMPRODUCT(COMPLEX(-Ported!C$41,0),J134),IMSUM(COMPLEX(Ported!C$41,0),IMPRODUCT(COMPLEX(Ported!C$42,0),C134))),IMDIV(IMPRODUCT(COMPLEX(Ported!C$42*Ported!C$14/Ported!C$24,0),C134,H134),IMSUM(COMPLEX(Ported!C$41,0),IMPRODUCT(COMPLEX(Ported!C$42,0),C134))))</f>
        <v>1.52911602278146E-06-3.05946187912343E-06i</v>
      </c>
      <c r="M134" s="28">
        <f t="shared" si="13"/>
        <v>-63.444162199673549</v>
      </c>
      <c r="N134" s="39" t="str">
        <f>IMPRODUCT(COMPLEX((Ported!C$10*Ported!C$14)/(2*PI()),0),C134,C134,H134)</f>
        <v>0.100515727933922+0.0470108265990817i</v>
      </c>
      <c r="O134" s="28">
        <f t="shared" si="14"/>
        <v>25.065314562695878</v>
      </c>
      <c r="P134" s="26" t="str">
        <f>IMPRODUCT(COMPLEX((Ported!C$10*Ported!C$24)/(2*PI()),0),C134,C134,J134)</f>
        <v>0.00318938481609516+0.00159405137824643i</v>
      </c>
      <c r="Q134" s="23">
        <f t="shared" si="15"/>
        <v>26.555837800336342</v>
      </c>
      <c r="R134" s="41" t="str">
        <f>IMPRODUCT(COMPLEX((Ported!C$10*Ported!C$24)/(2*PI()),0),C134,C134,L134)</f>
        <v>-0.00129042254429429+0.00258188294636299i</v>
      </c>
      <c r="S134" s="33">
        <f t="shared" si="16"/>
        <v>116.55583780032642</v>
      </c>
      <c r="T134" s="38">
        <f>IMABS(IMDIV(D134,IMSUB(COMPLEX(1,0),IMPRODUCT(COMPLEX(Ported!C$18,0),IMPRODUCT(C134,H134)))))</f>
        <v>6.610281101857252</v>
      </c>
      <c r="U134" s="21">
        <f>20*LOG10(Ported!C$29*50000*IMABS(N134))</f>
        <v>104.71042420289371</v>
      </c>
      <c r="V134" s="22">
        <f>20*LOG10(Ported!C$29*50000*IMABS(P134))</f>
        <v>74.849174318470887</v>
      </c>
      <c r="W134" s="22">
        <f>20*LOG10(Ported!C$29*50000*IMABS(R134))</f>
        <v>73.013766851358042</v>
      </c>
      <c r="X134" s="28">
        <f>1000*Ported!C$29*IMABS(H134)</f>
        <v>0.70242342999006391</v>
      </c>
      <c r="Y134" s="28">
        <f>1000*Ported!C$29*IMABS(J134)</f>
        <v>0.13097765447100207</v>
      </c>
      <c r="Z134" s="28">
        <f>Ported!C$29*IMABS(IMPRODUCT(C134,J134))</f>
        <v>0.13990266860397765</v>
      </c>
      <c r="AA134" s="28">
        <f>1000*Ported!C$29*IMABS(L134)</f>
        <v>0.10602952980985976</v>
      </c>
      <c r="AB134" s="41" t="str">
        <f t="shared" si="17"/>
        <v>0.102414690205723+0.0511867609236911i</v>
      </c>
      <c r="AC134" s="28">
        <f>20*LOG10(Ported!C$29*50000*IMABS(AB134))</f>
        <v>104.98228098481539</v>
      </c>
      <c r="AD134" s="28">
        <f t="shared" si="18"/>
        <v>177465.54585683235</v>
      </c>
      <c r="AE134" s="23">
        <f t="shared" si="19"/>
        <v>26.555837800336281</v>
      </c>
      <c r="AG134" s="64"/>
      <c r="AH134" s="1"/>
      <c r="AI134" s="1"/>
      <c r="AJ134" s="1"/>
      <c r="AK134" s="2"/>
      <c r="AL134" s="2"/>
      <c r="AM134" s="2"/>
      <c r="AN134" s="2"/>
      <c r="AO134" s="2"/>
      <c r="AP134" s="2"/>
      <c r="AQ134" s="3"/>
      <c r="AR134" s="3"/>
      <c r="AS134" s="2"/>
      <c r="AT134" s="8"/>
      <c r="AU134" s="8"/>
    </row>
    <row r="135" spans="2:47" x14ac:dyDescent="0.25">
      <c r="B135" s="25">
        <v>174</v>
      </c>
      <c r="C135" s="17" t="str">
        <f t="shared" si="10"/>
        <v>1093.27424344925i</v>
      </c>
      <c r="D135" s="18" t="str">
        <f>COMPLEX(Ported!C$19,2*PI()*B135*Ported!C$20)</f>
        <v>6</v>
      </c>
      <c r="E135" s="19" t="str">
        <f>IMSUB(COMPLEX(1,0),IMDIV(COMPLEX(Ported!C$41,0),IMSUM(COMPLEX(Ported!C$41,0),IMPRODUCT(C135,COMPLEX(Ported!C$42,0)))))</f>
        <v>0.999393704224669+0.0246156084784401i</v>
      </c>
      <c r="F135" s="19" t="str">
        <f>IMDIV(IMPRODUCT(C135,COMPLEX((Ported!C$42*Ported!C$14/Ported!C$24),0)),IMSUM(COMPLEX(Ported!C$41,0),IMPRODUCT(C135,COMPLEX(Ported!C$42,0))))</f>
        <v>5.7995904079359+0.142847054382658i</v>
      </c>
      <c r="G135" s="30" t="str">
        <f>IMPRODUCT(F135,IMSUB(COMPLEX(1,0),IMDIV(IMPRODUCT(COMPLEX(Ported!C$41,0),E135),IMSUM(COMPLEX(0-(2*PI()*B135)^2*Ported!C$38,0),IMPRODUCT(C135,COMPLEX(0,0)),IMPRODUCT(COMPLEX(Ported!C$41,0),E135)))))</f>
        <v>5.97704848588761+0.151728296648058i</v>
      </c>
      <c r="H135" s="32" t="str">
        <f>IMDIV(COMPLEX(Ported!C$18,0),IMPRODUCT(D135,IMSUM(COMPLEX(Ported!C$16-(2*PI()*B135)^2*Ported!C$15,0),IMPRODUCT(C135,IMSUM(COMPLEX(Ported!C$17,0),IMDIV(COMPLEX(Ported!C$18^2,0),D135))),IMPRODUCT(COMPLEX(Ported!C$14*Ported!C$41/Ported!C$24,0),G135))))</f>
        <v>-0.000019712284996189-8.97760967815567E-06i</v>
      </c>
      <c r="I135" s="27">
        <f t="shared" si="11"/>
        <v>-155.51395145055307</v>
      </c>
      <c r="J135" s="20" t="str">
        <f>IMPRODUCT(IMDIV(IMPRODUCT(COMPLEX(-Ported!C$41,0),F135),IMSUM(IMPRODUCT(COMPLEX(Ported!C$41,0),E135),COMPLEX(Calculations!C$3-(2*PI()*B135)^2*Ported!C$38,0),IMPRODUCT(COMPLEX(Calculations!C$4,0),C135))),H135)</f>
        <v>-3.46192407150476E-06-1.68402258499476E-06i</v>
      </c>
      <c r="K135" s="27">
        <f t="shared" si="12"/>
        <v>-154.05980156120242</v>
      </c>
      <c r="L135" s="40" t="str">
        <f>IMSUM(IMPRODUCT(COMPLEX(-(Ported!C$14/Ported!C$24),0),H135),IMDIV(IMPRODUCT(COMPLEX(-Ported!C$41,0),J135),IMSUM(COMPLEX(Ported!C$41,0),IMPRODUCT(COMPLEX(Ported!C$42,0),C135))),IMDIV(IMPRODUCT(COMPLEX(Ported!C$42*Ported!C$14/Ported!C$24,0),C135,H135),IMSUM(COMPLEX(Ported!C$41,0),IMPRODUCT(COMPLEX(Ported!C$42,0),C135))))</f>
        <v>1.39533299899514E-06-0.0000028684513735326i</v>
      </c>
      <c r="M135" s="28">
        <f t="shared" si="13"/>
        <v>-64.059801561211458</v>
      </c>
      <c r="N135" s="39" t="str">
        <f>IMPRODUCT(COMPLEX((Ported!C$10*Ported!C$14)/(2*PI()),0),C135,C135,H135)</f>
        <v>0.101132289604971+0.0460589029687404i</v>
      </c>
      <c r="O135" s="28">
        <f t="shared" si="14"/>
        <v>24.486048549446856</v>
      </c>
      <c r="P135" s="26" t="str">
        <f>IMPRODUCT(COMPLEX((Ported!C$10*Ported!C$24)/(2*PI()),0),C135,C135,J135)</f>
        <v>0.00306062199539266+0.00148881271163543i</v>
      </c>
      <c r="Q135" s="23">
        <f t="shared" si="15"/>
        <v>25.940198438797591</v>
      </c>
      <c r="R135" s="41" t="str">
        <f>IMPRODUCT(COMPLEX((Ported!C$10*Ported!C$24)/(2*PI()),0),C135,C135,L135)</f>
        <v>-0.00123358767535461+0.0025359439390397i</v>
      </c>
      <c r="S135" s="33">
        <f t="shared" si="16"/>
        <v>115.9401984387886</v>
      </c>
      <c r="T135" s="38">
        <f>IMABS(IMDIV(D135,IMSUB(COMPLEX(1,0),IMPRODUCT(COMPLEX(Ported!C$18,0),IMPRODUCT(C135,H135)))))</f>
        <v>6.5802167201681456</v>
      </c>
      <c r="U135" s="21">
        <f>20*LOG10(Ported!C$29*50000*IMABS(N135))</f>
        <v>104.72300903320868</v>
      </c>
      <c r="V135" s="22">
        <f>20*LOG10(Ported!C$29*50000*IMABS(P135))</f>
        <v>74.445208313006844</v>
      </c>
      <c r="W135" s="22">
        <f>20*LOG10(Ported!C$29*50000*IMABS(R135))</f>
        <v>72.81180738398001</v>
      </c>
      <c r="X135" s="28">
        <f>1000*Ported!C$29*IMABS(H135)</f>
        <v>0.67147148915454691</v>
      </c>
      <c r="Y135" s="28">
        <f>1000*Ported!C$29*IMABS(J135)</f>
        <v>0.11934335834152945</v>
      </c>
      <c r="Z135" s="28">
        <f>Ported!C$29*IMABS(IMPRODUCT(C135,J135))</f>
        <v>0.13047501980152829</v>
      </c>
      <c r="AA135" s="28">
        <f>1000*Ported!C$29*IMABS(L135)</f>
        <v>9.8884496911548284E-2</v>
      </c>
      <c r="AB135" s="41" t="str">
        <f t="shared" si="17"/>
        <v>0.102959323925009+0.0500836596194155i</v>
      </c>
      <c r="AC135" s="28">
        <f>20*LOG10(Ported!C$29*50000*IMABS(AB135))</f>
        <v>104.98232805552432</v>
      </c>
      <c r="AD135" s="28">
        <f t="shared" si="18"/>
        <v>177466.50758349925</v>
      </c>
      <c r="AE135" s="23">
        <f t="shared" si="19"/>
        <v>25.940198438797442</v>
      </c>
      <c r="AG135" s="64"/>
      <c r="AH135" s="1"/>
      <c r="AI135" s="1"/>
      <c r="AJ135" s="1"/>
      <c r="AK135" s="2"/>
      <c r="AL135" s="2"/>
      <c r="AM135" s="2"/>
      <c r="AN135" s="2"/>
      <c r="AO135" s="2"/>
      <c r="AP135" s="2"/>
      <c r="AQ135" s="3"/>
      <c r="AR135" s="3"/>
      <c r="AS135" s="2"/>
      <c r="AT135" s="8"/>
      <c r="AU135" s="8"/>
    </row>
    <row r="136" spans="2:47" x14ac:dyDescent="0.25">
      <c r="B136" s="25">
        <v>178</v>
      </c>
      <c r="C136" s="17" t="str">
        <f t="shared" si="10"/>
        <v>1118.40698467797i</v>
      </c>
      <c r="D136" s="18" t="str">
        <f>COMPLEX(Ported!C$19,2*PI()*B136*Ported!C$20)</f>
        <v>6</v>
      </c>
      <c r="E136" s="19" t="str">
        <f>IMSUB(COMPLEX(1,0),IMDIV(COMPLEX(Ported!C$41,0),IMSUM(COMPLEX(Ported!C$41,0),IMPRODUCT(C136,COMPLEX(Ported!C$42,0)))))</f>
        <v>0.999420631691704+0.0240630970712288i</v>
      </c>
      <c r="F136" s="19" t="str">
        <f>IMDIV(IMPRODUCT(C136,COMPLEX((Ported!C$42*Ported!C$14/Ported!C$24),0)),IMSUM(COMPLEX(Ported!C$41,0),IMPRODUCT(C136,COMPLEX(Ported!C$42,0))))</f>
        <v>5.79974667095705+0.139640770568789i</v>
      </c>
      <c r="G136" s="30" t="str">
        <f>IMPRODUCT(F136,IMSUB(COMPLEX(1,0),IMDIV(IMPRODUCT(COMPLEX(Ported!C$41,0),E136),IMSUM(COMPLEX(0-(2*PI()*B136)^2*Ported!C$38,0),IMPRODUCT(C136,COMPLEX(0,0)),IMPRODUCT(COMPLEX(Ported!C$41,0),E136)))))</f>
        <v>5.96910270173523+0.147920108902891i</v>
      </c>
      <c r="H136" s="32" t="str">
        <f>IMDIV(COMPLEX(Ported!C$18,0),IMPRODUCT(D136,IMSUM(COMPLEX(Ported!C$16-(2*PI()*B136)^2*Ported!C$15,0),IMPRODUCT(C136,IMSUM(COMPLEX(Ported!C$17,0),IMDIV(COMPLEX(Ported!C$18^2,0),D136))),IMPRODUCT(COMPLEX(Ported!C$14*Ported!C$41/Ported!C$24,0),G136))))</f>
        <v>-0.0000189437840316487-8.40779395188139E-06i</v>
      </c>
      <c r="I136" s="27">
        <f t="shared" si="11"/>
        <v>-156.06698075518153</v>
      </c>
      <c r="J136" s="20" t="str">
        <f>IMPRODUCT(IMDIV(IMPRODUCT(COMPLEX(-Ported!C$41,0),F136),IMSUM(IMPRODUCT(COMPLEX(Ported!C$41,0),E136),COMPLEX(Calculations!C$3-(2*PI()*B136)^2*Ported!C$38,0),IMPRODUCT(COMPLEX(Calculations!C$4,0),C136))),H136)</f>
        <v>-3.17669295488786E-06-1.50518359335067E-06i</v>
      </c>
      <c r="K136" s="27">
        <f t="shared" si="12"/>
        <v>-154.64742673749751</v>
      </c>
      <c r="L136" s="40" t="str">
        <f>IMSUM(IMPRODUCT(COMPLEX(-(Ported!C$14/Ported!C$24),0),H136),IMDIV(IMPRODUCT(COMPLEX(-Ported!C$41,0),J136),IMSUM(COMPLEX(Ported!C$41,0),IMPRODUCT(COMPLEX(Ported!C$42,0),C136))),IMDIV(IMPRODUCT(COMPLEX(Ported!C$42*Ported!C$14/Ported!C$24,0),C136,H136),IMSUM(COMPLEX(Ported!C$41,0),IMPRODUCT(COMPLEX(Ported!C$42,0),C136))))</f>
        <v>1.27582228388706E-06-0.0000026926254570003i</v>
      </c>
      <c r="M136" s="28">
        <f t="shared" si="13"/>
        <v>-64.647426737509747</v>
      </c>
      <c r="N136" s="39" t="str">
        <f>IMPRODUCT(COMPLEX((Ported!C$10*Ported!C$14)/(2*PI()),0),C136,C136,H136)</f>
        <v>0.10170940463408+0.0451415469952149i</v>
      </c>
      <c r="O136" s="28">
        <f t="shared" si="14"/>
        <v>23.933019244818396</v>
      </c>
      <c r="P136" s="26" t="str">
        <f>IMPRODUCT(COMPLEX((Ported!C$10*Ported!C$24)/(2*PI()),0),C136,C136,J136)</f>
        <v>0.00293906306083115+0.00139258957721402i</v>
      </c>
      <c r="Q136" s="23">
        <f t="shared" si="15"/>
        <v>25.35257326250246</v>
      </c>
      <c r="R136" s="41" t="str">
        <f>IMPRODUCT(COMPLEX((Ported!C$10*Ported!C$24)/(2*PI()),0),C136,C136,L136)</f>
        <v>-0.00118038545116176+0.00249120583251412i</v>
      </c>
      <c r="S136" s="33">
        <f t="shared" si="16"/>
        <v>115.35257326249034</v>
      </c>
      <c r="T136" s="38">
        <f>IMABS(IMDIV(D136,IMSUB(COMPLEX(1,0),IMPRODUCT(COMPLEX(Ported!C$18,0),IMPRODUCT(C136,H136)))))</f>
        <v>6.5523716544859072</v>
      </c>
      <c r="U136" s="21">
        <f>20*LOG10(Ported!C$29*50000*IMABS(N136))</f>
        <v>104.73473916514575</v>
      </c>
      <c r="V136" s="22">
        <f>20*LOG10(Ported!C$29*50000*IMABS(P136))</f>
        <v>74.050422179896202</v>
      </c>
      <c r="W136" s="22">
        <f>20*LOG10(Ported!C$29*50000*IMABS(R136))</f>
        <v>72.614436331395154</v>
      </c>
      <c r="X136" s="28">
        <f>1000*Ported!C$29*IMABS(H136)</f>
        <v>0.64249917698360903</v>
      </c>
      <c r="Y136" s="28">
        <f>1000*Ported!C$29*IMABS(J136)</f>
        <v>0.10897263190330164</v>
      </c>
      <c r="Z136" s="28">
        <f>Ported!C$29*IMABS(IMPRODUCT(C136,J136))</f>
        <v>0.12187575265939384</v>
      </c>
      <c r="AA136" s="28">
        <f>1000*Ported!C$29*IMABS(L136)</f>
        <v>9.2367278470412151E-2</v>
      </c>
      <c r="AB136" s="41" t="str">
        <f t="shared" si="17"/>
        <v>0.103468082243749+0.049025342404943i</v>
      </c>
      <c r="AC136" s="28">
        <f>20*LOG10(Ported!C$29*50000*IMABS(AB136))</f>
        <v>104.98237208346545</v>
      </c>
      <c r="AD136" s="28">
        <f t="shared" si="18"/>
        <v>177467.40714647729</v>
      </c>
      <c r="AE136" s="23">
        <f t="shared" si="19"/>
        <v>25.352573262502318</v>
      </c>
      <c r="AG136" s="64"/>
      <c r="AH136" s="1"/>
      <c r="AI136" s="1"/>
      <c r="AJ136" s="1"/>
      <c r="AK136" s="2"/>
      <c r="AL136" s="2"/>
      <c r="AM136" s="2"/>
      <c r="AN136" s="2"/>
      <c r="AO136" s="2"/>
      <c r="AP136" s="2"/>
      <c r="AQ136" s="3"/>
      <c r="AR136" s="3"/>
      <c r="AS136" s="2"/>
      <c r="AT136" s="8"/>
      <c r="AU136" s="8"/>
    </row>
    <row r="137" spans="2:47" x14ac:dyDescent="0.25">
      <c r="B137" s="25">
        <v>182</v>
      </c>
      <c r="C137" s="17" t="str">
        <f t="shared" si="10"/>
        <v>1143.53972590668i</v>
      </c>
      <c r="D137" s="18" t="str">
        <f>COMPLEX(Ported!C$19,2*PI()*B137*Ported!C$20)</f>
        <v>6</v>
      </c>
      <c r="E137" s="19" t="str">
        <f>IMSUB(COMPLEX(1,0),IMDIV(COMPLEX(Ported!C$41,0),IMSUM(COMPLEX(Ported!C$41,0),IMPRODUCT(C137,COMPLEX(Ported!C$42,0)))))</f>
        <v>0.999445804617802+0.0235348305639986i</v>
      </c>
      <c r="F137" s="19" t="str">
        <f>IMDIV(IMPRODUCT(C137,COMPLEX((Ported!C$42*Ported!C$14/Ported!C$24),0)),IMSUM(COMPLEX(Ported!C$41,0),IMPRODUCT(C137,COMPLEX(Ported!C$42,0))))</f>
        <v>5.79989275218619+0.136575182547556i</v>
      </c>
      <c r="G137" s="30" t="str">
        <f>IMPRODUCT(F137,IMSUB(COMPLEX(1,0),IMDIV(IMPRODUCT(COMPLEX(Ported!C$41,0),E137),IMSUM(COMPLEX(0-(2*PI()*B137)^2*Ported!C$38,0),IMPRODUCT(C137,COMPLEX(0,0)),IMPRODUCT(COMPLEX(Ported!C$41,0),E137)))))</f>
        <v>5.96169368719285+0.14430614064084i</v>
      </c>
      <c r="H137" s="32" t="str">
        <f>IMDIV(COMPLEX(Ported!C$18,0),IMPRODUCT(D137,IMSUM(COMPLEX(Ported!C$16-(2*PI()*B137)^2*Ported!C$15,0),IMPRODUCT(C137,IMSUM(COMPLEX(Ported!C$17,0),IMDIV(COMPLEX(Ported!C$18^2,0),D137))),IMPRODUCT(COMPLEX(Ported!C$14*Ported!C$41/Ported!C$24,0),G137))))</f>
        <v>-0.0000182166104488293-7.88472212230825E-06i</v>
      </c>
      <c r="I137" s="27">
        <f t="shared" si="11"/>
        <v>-156.59552081810511</v>
      </c>
      <c r="J137" s="20" t="str">
        <f>IMPRODUCT(IMDIV(IMPRODUCT(COMPLEX(-Ported!C$41,0),F137),IMSUM(IMPRODUCT(COMPLEX(Ported!C$41,0),E137),COMPLEX(Calculations!C$3-(2*PI()*B137)^2*Ported!C$38,0),IMPRODUCT(COMPLEX(Calculations!C$4,0),C137))),H137)</f>
        <v>-2.91986577484021E-06-1.34861611418116E-06i</v>
      </c>
      <c r="K137" s="27">
        <f t="shared" si="12"/>
        <v>-155.20891509395048</v>
      </c>
      <c r="L137" s="40" t="str">
        <f>IMSUM(IMPRODUCT(COMPLEX(-(Ported!C$14/Ported!C$24),0),H137),IMDIV(IMPRODUCT(COMPLEX(-Ported!C$41,0),J137),IMSUM(COMPLEX(Ported!C$41,0),IMPRODUCT(COMPLEX(Ported!C$42,0),C137))),IMDIV(IMPRODUCT(COMPLEX(Ported!C$42*Ported!C$14/Ported!C$24,0),C137,H137),IMSUM(COMPLEX(Ported!C$41,0),IMPRODUCT(COMPLEX(Ported!C$42,0),C137))))</f>
        <v>1.16880063229019E-06-2.53055033819504E-06i</v>
      </c>
      <c r="M137" s="28">
        <f t="shared" si="13"/>
        <v>-65.208915093954914</v>
      </c>
      <c r="N137" s="39" t="str">
        <f>IMPRODUCT(COMPLEX((Ported!C$10*Ported!C$14)/(2*PI()),0),C137,C137,H137)</f>
        <v>0.10225033060617+0.0442571600248284i</v>
      </c>
      <c r="O137" s="28">
        <f t="shared" si="14"/>
        <v>23.404479181894832</v>
      </c>
      <c r="P137" s="26" t="str">
        <f>IMPRODUCT(COMPLEX((Ported!C$10*Ported!C$24)/(2*PI()),0),C137,C137,J137)</f>
        <v>0.00282422519765921+0.00130444202074601i</v>
      </c>
      <c r="Q137" s="23">
        <f t="shared" si="15"/>
        <v>24.791084906049498</v>
      </c>
      <c r="R137" s="41" t="str">
        <f>IMPRODUCT(COMPLEX((Ported!C$10*Ported!C$24)/(2*PI()),0),C137,C137,L137)</f>
        <v>-0.00113051641797973+0.0024476618379715i</v>
      </c>
      <c r="S137" s="33">
        <f t="shared" si="16"/>
        <v>114.79108490604504</v>
      </c>
      <c r="T137" s="38">
        <f>IMABS(IMDIV(D137,IMSUB(COMPLEX(1,0),IMPRODUCT(COMPLEX(Ported!C$18,0),IMPRODUCT(C137,H137)))))</f>
        <v>6.5265283114966399</v>
      </c>
      <c r="U137" s="21">
        <f>20*LOG10(Ported!C$29*50000*IMABS(N137))</f>
        <v>104.74569061371547</v>
      </c>
      <c r="V137" s="22">
        <f>20*LOG10(Ported!C$29*50000*IMABS(P137))</f>
        <v>73.664407998916815</v>
      </c>
      <c r="W137" s="22">
        <f>20*LOG10(Ported!C$29*50000*IMABS(R137))</f>
        <v>72.421449863940268</v>
      </c>
      <c r="X137" s="28">
        <f>1000*Ported!C$29*IMABS(H137)</f>
        <v>0.61534315902753633</v>
      </c>
      <c r="Y137" s="28">
        <f>1000*Ported!C$29*IMABS(J137)</f>
        <v>9.970431628278853E-2</v>
      </c>
      <c r="Z137" s="28">
        <f>Ported!C$29*IMABS(IMPRODUCT(C137,J137))</f>
        <v>0.114015846513733</v>
      </c>
      <c r="AA137" s="28">
        <f>1000*Ported!C$29*IMABS(L137)</f>
        <v>8.6410407445086851E-2</v>
      </c>
      <c r="AB137" s="41" t="str">
        <f t="shared" si="17"/>
        <v>0.103944039385849+0.0480092638835459i</v>
      </c>
      <c r="AC137" s="28">
        <f>20*LOG10(Ported!C$29*50000*IMABS(AB137))</f>
        <v>104.98241332953336</v>
      </c>
      <c r="AD137" s="28">
        <f t="shared" si="18"/>
        <v>177468.2498753643</v>
      </c>
      <c r="AE137" s="23">
        <f t="shared" si="19"/>
        <v>24.791084906049637</v>
      </c>
      <c r="AG137" s="64"/>
      <c r="AH137" s="1"/>
      <c r="AI137" s="1"/>
      <c r="AJ137" s="1"/>
      <c r="AK137" s="2"/>
      <c r="AL137" s="2"/>
      <c r="AM137" s="2"/>
      <c r="AN137" s="2"/>
      <c r="AO137" s="2"/>
      <c r="AP137" s="2"/>
      <c r="AQ137" s="3"/>
      <c r="AR137" s="3"/>
      <c r="AS137" s="2"/>
      <c r="AT137" s="8"/>
      <c r="AU137" s="8"/>
    </row>
    <row r="138" spans="2:47" x14ac:dyDescent="0.25">
      <c r="B138" s="25">
        <v>186</v>
      </c>
      <c r="C138" s="17" t="str">
        <f t="shared" si="10"/>
        <v>1168.6724671354i</v>
      </c>
      <c r="D138" s="18" t="str">
        <f>COMPLEX(Ported!C$19,2*PI()*B138*Ported!C$20)</f>
        <v>6</v>
      </c>
      <c r="E138" s="19" t="str">
        <f>IMSUB(COMPLEX(1,0),IMDIV(COMPLEX(Ported!C$41,0),IMSUM(COMPLEX(Ported!C$41,0),IMPRODUCT(C138,COMPLEX(Ported!C$42,0)))))</f>
        <v>0.999469372161141+0.0230292482064781i</v>
      </c>
      <c r="F138" s="19" t="str">
        <f>IMDIV(IMPRODUCT(C138,COMPLEX((Ported!C$42*Ported!C$14/Ported!C$24),0)),IMSUM(COMPLEX(Ported!C$41,0),IMPRODUCT(C138,COMPLEX(Ported!C$42,0))))</f>
        <v>5.80002951720456+0.133641233115313i</v>
      </c>
      <c r="G138" s="30" t="str">
        <f>IMPRODUCT(F138,IMSUB(COMPLEX(1,0),IMDIV(IMPRODUCT(COMPLEX(Ported!C$41,0),E138),IMSUM(COMPLEX(0-(2*PI()*B138)^2*Ported!C$38,0),IMPRODUCT(C138,COMPLEX(0,0)),IMPRODUCT(COMPLEX(Ported!C$41,0),E138)))))</f>
        <v>5.95477379028622+0.140871480081558i</v>
      </c>
      <c r="H138" s="32" t="str">
        <f>IMDIV(COMPLEX(Ported!C$18,0),IMPRODUCT(D138,IMSUM(COMPLEX(Ported!C$16-(2*PI()*B138)^2*Ported!C$15,0),IMPRODUCT(C138,IMSUM(COMPLEX(Ported!C$17,0),IMDIV(COMPLEX(Ported!C$18^2,0),D138))),IMPRODUCT(COMPLEX(Ported!C$14*Ported!C$41/Ported!C$24,0),G138))))</f>
        <v>-0.0000175281216756899-7.40374780071173E-06i</v>
      </c>
      <c r="I138" s="27">
        <f t="shared" si="11"/>
        <v>-157.10116690950571</v>
      </c>
      <c r="J138" s="20" t="str">
        <f>IMPRODUCT(IMDIV(IMPRODUCT(COMPLEX(-Ported!C$41,0),F138),IMSUM(IMPRODUCT(COMPLEX(Ported!C$41,0),E138),COMPLEX(Calculations!C$3-(2*PI()*B138)^2*Ported!C$38,0),IMPRODUCT(COMPLEX(Calculations!C$4,0),C138))),H138)</f>
        <v>-2.68816396036705E-06-1.21115649836295E-06i</v>
      </c>
      <c r="K138" s="27">
        <f t="shared" si="12"/>
        <v>-155.74597923212201</v>
      </c>
      <c r="L138" s="40" t="str">
        <f>IMSUM(IMPRODUCT(COMPLEX(-(Ported!C$14/Ported!C$24),0),H138),IMDIV(IMPRODUCT(COMPLEX(-Ported!C$41,0),J138),IMSUM(COMPLEX(Ported!C$41,0),IMPRODUCT(COMPLEX(Ported!C$42,0),C138))),IMDIV(IMPRODUCT(COMPLEX(Ported!C$42*Ported!C$14/Ported!C$24,0),C138,H138),IMSUM(COMPLEX(Ported!C$41,0),IMPRODUCT(COMPLEX(Ported!C$42,0),C138))))</f>
        <v>1.07273861283549E-06-2.38094522203956E-06i</v>
      </c>
      <c r="M138" s="28">
        <f t="shared" si="13"/>
        <v>-65.745979232128875</v>
      </c>
      <c r="N138" s="39" t="str">
        <f>IMPRODUCT(COMPLEX((Ported!C$10*Ported!C$14)/(2*PI()),0),C138,C138,H138)</f>
        <v>0.102757999635372+0.0434042122642887i</v>
      </c>
      <c r="O138" s="28">
        <f t="shared" si="14"/>
        <v>22.898833090494353</v>
      </c>
      <c r="P138" s="26" t="str">
        <f>IMPRODUCT(COMPLEX((Ported!C$10*Ported!C$24)/(2*PI()),0),C138,C138,J138)</f>
        <v>0.00271565942001612+0.00122354462093301i</v>
      </c>
      <c r="Q138" s="23">
        <f t="shared" si="15"/>
        <v>24.254020767877993</v>
      </c>
      <c r="R138" s="41" t="str">
        <f>IMPRODUCT(COMPLEX((Ported!C$10*Ported!C$24)/(2*PI()),0),C138,C138,L138)</f>
        <v>-0.00108371094996897+0.00240529834344302i</v>
      </c>
      <c r="S138" s="33">
        <f t="shared" si="16"/>
        <v>114.25402076787117</v>
      </c>
      <c r="T138" s="38">
        <f>IMABS(IMDIV(D138,IMSUB(COMPLEX(1,0),IMPRODUCT(COMPLEX(Ported!C$18,0),IMPRODUCT(C138,H138)))))</f>
        <v>6.5024955881495341</v>
      </c>
      <c r="U138" s="21">
        <f>20*LOG10(Ported!C$29*50000*IMABS(N138))</f>
        <v>104.75593109182981</v>
      </c>
      <c r="V138" s="22">
        <f>20*LOG10(Ported!C$29*50000*IMABS(P138))</f>
        <v>73.286784446283662</v>
      </c>
      <c r="W138" s="22">
        <f>20*LOG10(Ported!C$29*50000*IMABS(R138))</f>
        <v>72.232657435963745</v>
      </c>
      <c r="X138" s="28">
        <f>1000*Ported!C$29*IMABS(H138)</f>
        <v>0.5898563895274298</v>
      </c>
      <c r="Y138" s="28">
        <f>1000*Ported!C$29*IMABS(J138)</f>
        <v>9.140073109790034E-2</v>
      </c>
      <c r="Z138" s="28">
        <f>Ported!C$29*IMABS(IMPRODUCT(C138,J138))</f>
        <v>0.10681751791016252</v>
      </c>
      <c r="AA138" s="28">
        <f>1000*Ported!C$29*IMABS(L138)</f>
        <v>8.0954933258141806E-2</v>
      </c>
      <c r="AB138" s="41" t="str">
        <f t="shared" si="17"/>
        <v>0.104389948105419+0.0470330552286647i</v>
      </c>
      <c r="AC138" s="28">
        <f>20*LOG10(Ported!C$29*50000*IMABS(AB138))</f>
        <v>104.98245202621376</v>
      </c>
      <c r="AD138" s="28">
        <f t="shared" si="18"/>
        <v>177469.04051947</v>
      </c>
      <c r="AE138" s="23">
        <f t="shared" si="19"/>
        <v>24.254020767878032</v>
      </c>
      <c r="AG138" s="64"/>
      <c r="AH138" s="1"/>
      <c r="AI138" s="1"/>
      <c r="AJ138" s="1"/>
      <c r="AK138" s="2"/>
      <c r="AL138" s="2"/>
      <c r="AM138" s="2"/>
      <c r="AN138" s="2"/>
      <c r="AO138" s="2"/>
      <c r="AP138" s="2"/>
      <c r="AQ138" s="3"/>
      <c r="AR138" s="3"/>
      <c r="AS138" s="2"/>
      <c r="AT138" s="8"/>
      <c r="AU138" s="8"/>
    </row>
    <row r="139" spans="2:47" x14ac:dyDescent="0.25">
      <c r="B139" s="25">
        <v>191</v>
      </c>
      <c r="C139" s="17" t="str">
        <f t="shared" ref="C139:C202" si="20">COMPLEX(0,2*PI()*B139)</f>
        <v>1200.0883936713i</v>
      </c>
      <c r="D139" s="18" t="str">
        <f>COMPLEX(Ported!C$19,2*PI()*B139*Ported!C$20)</f>
        <v>6</v>
      </c>
      <c r="E139" s="19" t="str">
        <f>IMSUB(COMPLEX(1,0),IMDIV(COMPLEX(Ported!C$41,0),IMSUM(COMPLEX(Ported!C$41,0),IMPRODUCT(C139,COMPLEX(Ported!C$42,0)))))</f>
        <v>0.999496776293019+0.0224270032077716i</v>
      </c>
      <c r="F139" s="19" t="str">
        <f>IMDIV(IMPRODUCT(C139,COMPLEX((Ported!C$42*Ported!C$14/Ported!C$24),0)),IMSUM(COMPLEX(Ported!C$41,0),IMPRODUCT(C139,COMPLEX(Ported!C$42,0))))</f>
        <v>5.80018854636364+0.130146339858571i</v>
      </c>
      <c r="G139" s="30" t="str">
        <f>IMPRODUCT(F139,IMSUB(COMPLEX(1,0),IMDIV(IMPRODUCT(COMPLEX(Ported!C$41,0),E139),IMSUM(COMPLEX(0-(2*PI()*B139)^2*Ported!C$38,0),IMPRODUCT(C139,COMPLEX(0,0)),IMPRODUCT(COMPLEX(Ported!C$41,0),E139)))))</f>
        <v>5.94674752409834+0.136810028277867i</v>
      </c>
      <c r="H139" s="32" t="str">
        <f>IMDIV(COMPLEX(Ported!C$18,0),IMPRODUCT(D139,IMSUM(COMPLEX(Ported!C$16-(2*PI()*B139)^2*Ported!C$15,0),IMPRODUCT(C139,IMSUM(COMPLEX(Ported!C$17,0),IMDIV(COMPLEX(Ported!C$18^2,0),D139))),IMPRODUCT(COMPLEX(Ported!C$14*Ported!C$41/Ported!C$24,0),G139))))</f>
        <v>-0.0000167181657144185-6.85551462792234E-06i</v>
      </c>
      <c r="I139" s="27">
        <f t="shared" ref="I139:I202" si="21">(180/PI())*IMARGUMENT(H139)</f>
        <v>-157.70324130072461</v>
      </c>
      <c r="J139" s="20" t="str">
        <f>IMPRODUCT(IMDIV(IMPRODUCT(COMPLEX(-Ported!C$41,0),F139),IMSUM(IMPRODUCT(COMPLEX(Ported!C$41,0),E139),COMPLEX(Calculations!C$3-(2*PI()*B139)^2*Ported!C$38,0),IMPRODUCT(COMPLEX(Calculations!C$4,0),C139))),H139)</f>
        <v>-2.42955858330694E-06-1.06218866335201E-06i</v>
      </c>
      <c r="K139" s="27">
        <f t="shared" ref="K139:K202" si="22">(180/PI())*IMARGUMENT(J139)</f>
        <v>-156.38533521753638</v>
      </c>
      <c r="L139" s="40" t="str">
        <f>IMSUM(IMPRODUCT(COMPLEX(-(Ported!C$14/Ported!C$24),0),H139),IMDIV(IMPRODUCT(COMPLEX(-Ported!C$41,0),J139),IMSUM(COMPLEX(Ported!C$41,0),IMPRODUCT(COMPLEX(Ported!C$42,0),C139))),IMDIV(IMPRODUCT(COMPLEX(Ported!C$42*Ported!C$14/Ported!C$24,0),C139,H139),IMSUM(COMPLEX(Ported!C$41,0),IMPRODUCT(COMPLEX(Ported!C$42,0),C139))))</f>
        <v>9.66085879524782E-07-2.20974137815071E-06i</v>
      </c>
      <c r="M139" s="28">
        <f t="shared" ref="M139:M202" si="23">(180/PI())*IMARGUMENT(L139)</f>
        <v>-66.385335217540515</v>
      </c>
      <c r="N139" s="39" t="str">
        <f>IMPRODUCT(COMPLEX((Ported!C$10*Ported!C$14)/(2*PI()),0),C139,C139,H139)</f>
        <v>0.103349822209332+0.0423800212327236i</v>
      </c>
      <c r="O139" s="28">
        <f t="shared" ref="O139:O202" si="24">(180/PI())*IMARGUMENT(N139)</f>
        <v>22.296758699275369</v>
      </c>
      <c r="P139" s="26" t="str">
        <f>IMPRODUCT(COMPLEX((Ported!C$10*Ported!C$24)/(2*PI()),0),C139,C139,J139)</f>
        <v>0.00258814003051606+0.00113151953547044i</v>
      </c>
      <c r="Q139" s="23">
        <f t="shared" ref="Q139:Q202" si="25">(180/PI())*IMARGUMENT(P139)</f>
        <v>23.614664782463663</v>
      </c>
      <c r="R139" s="41" t="str">
        <f>IMPRODUCT(COMPLEX((Ported!C$10*Ported!C$24)/(2*PI()),0),C139,C139,L139)</f>
        <v>-0.00102914395845153+0.00235397498013616i</v>
      </c>
      <c r="S139" s="33">
        <f t="shared" ref="S139:S202" si="26">(180/PI())*IMARGUMENT(R139)</f>
        <v>113.61466478245937</v>
      </c>
      <c r="T139" s="38">
        <f>IMABS(IMDIV(D139,IMSUB(COMPLEX(1,0),IMPRODUCT(COMPLEX(Ported!C$18,0),IMPRODUCT(C139,H139)))))</f>
        <v>6.4747461421989705</v>
      </c>
      <c r="U139" s="21">
        <f>20*LOG10(Ported!C$29*50000*IMABS(N139))</f>
        <v>104.76782341126059</v>
      </c>
      <c r="V139" s="22">
        <f>20*LOG10(Ported!C$29*50000*IMABS(P139))</f>
        <v>72.826012625564317</v>
      </c>
      <c r="W139" s="22">
        <f>20*LOG10(Ported!C$29*50000*IMABS(R139))</f>
        <v>72.002294075840666</v>
      </c>
      <c r="X139" s="28">
        <f>1000*Ported!C$29*IMABS(H139)</f>
        <v>0.56014447688730029</v>
      </c>
      <c r="Y139" s="28">
        <f>1000*Ported!C$29*IMABS(J139)</f>
        <v>8.2199699995129355E-2</v>
      </c>
      <c r="Z139" s="28">
        <f>Ported!C$29*IMABS(IMPRODUCT(C139,J139))</f>
        <v>9.8646905927417733E-2</v>
      </c>
      <c r="AA139" s="28">
        <f>1000*Ported!C$29*IMABS(L139)</f>
        <v>7.4762584281285765E-2</v>
      </c>
      <c r="AB139" s="41" t="str">
        <f t="shared" ref="AB139:AB202" si="27">IMSUM(N139,P139,R139)</f>
        <v>0.104908818281397+0.0458655157483302i</v>
      </c>
      <c r="AC139" s="28">
        <f>20*LOG10(Ported!C$29*50000*IMABS(AB139))</f>
        <v>104.98249712668701</v>
      </c>
      <c r="AD139" s="28">
        <f t="shared" ref="AD139:AD202" si="28">10^(AC139/20)</f>
        <v>177469.96200924553</v>
      </c>
      <c r="AE139" s="23">
        <f t="shared" ref="AE139:AE202" si="29">(180/PI())*IMARGUMENT(AB139)</f>
        <v>23.614664782463485</v>
      </c>
      <c r="AG139" s="64"/>
      <c r="AH139" s="1"/>
      <c r="AI139" s="1"/>
      <c r="AJ139" s="1"/>
      <c r="AK139" s="2"/>
      <c r="AL139" s="2"/>
      <c r="AM139" s="2"/>
      <c r="AN139" s="2"/>
      <c r="AO139" s="2"/>
      <c r="AP139" s="2"/>
      <c r="AQ139" s="3"/>
      <c r="AR139" s="3"/>
      <c r="AS139" s="2"/>
      <c r="AT139" s="8"/>
      <c r="AU139" s="8"/>
    </row>
    <row r="140" spans="2:47" x14ac:dyDescent="0.25">
      <c r="B140" s="25">
        <v>195</v>
      </c>
      <c r="C140" s="17" t="str">
        <f t="shared" si="20"/>
        <v>1225.22113490002i</v>
      </c>
      <c r="D140" s="18" t="str">
        <f>COMPLEX(Ported!C$19,2*PI()*B140*Ported!C$20)</f>
        <v>6</v>
      </c>
      <c r="E140" s="19" t="str">
        <f>IMSUB(COMPLEX(1,0),IMDIV(COMPLEX(Ported!C$41,0),IMSUM(COMPLEX(Ported!C$41,0),IMPRODUCT(C140,COMPLEX(Ported!C$42,0)))))</f>
        <v>0.9995171997586+0.0219674109837056i</v>
      </c>
      <c r="F140" s="19" t="str">
        <f>IMDIV(IMPRODUCT(C140,COMPLEX((Ported!C$42*Ported!C$14/Ported!C$24),0)),IMSUM(COMPLEX(Ported!C$41,0),IMPRODUCT(C140,COMPLEX(Ported!C$42,0))))</f>
        <v>5.80030706595665+0.127479276174872i</v>
      </c>
      <c r="G140" s="30" t="str">
        <f>IMPRODUCT(F140,IMSUB(COMPLEX(1,0),IMDIV(IMPRODUCT(COMPLEX(Ported!C$41,0),E140),IMSUM(COMPLEX(0-(2*PI()*B140)^2*Ported!C$38,0),IMPRODUCT(C140,COMPLEX(0,0)),IMPRODUCT(COMPLEX(Ported!C$41,0),E140)))))</f>
        <v>5.94077982022892+0.13373184010905i</v>
      </c>
      <c r="H140" s="32" t="str">
        <f>IMDIV(COMPLEX(Ported!C$18,0),IMPRODUCT(D140,IMSUM(COMPLEX(Ported!C$16-(2*PI()*B140)^2*Ported!C$15,0),IMPRODUCT(C140,IMSUM(COMPLEX(Ported!C$17,0),IMDIV(COMPLEX(Ported!C$18^2,0),D140))),IMPRODUCT(COMPLEX(Ported!C$14*Ported!C$41/Ported!C$24,0),G140))))</f>
        <v>-0.0000161079420553531-6.45494063367991E-06i</v>
      </c>
      <c r="I140" s="27">
        <f t="shared" si="21"/>
        <v>-158.16252739919216</v>
      </c>
      <c r="J140" s="20" t="str">
        <f>IMPRODUCT(IMDIV(IMPRODUCT(COMPLEX(-Ported!C$41,0),F140),IMSUM(IMPRODUCT(COMPLEX(Ported!C$41,0),E140),COMPLEX(Calculations!C$3-(2*PI()*B140)^2*Ported!C$38,0),IMPRODUCT(COMPLEX(Calculations!C$4,0),C140))),H140)</f>
        <v>-2.24450901820408E-06-9.58615995000565E-07i</v>
      </c>
      <c r="K140" s="27">
        <f t="shared" si="22"/>
        <v>-156.87297006872106</v>
      </c>
      <c r="L140" s="40" t="str">
        <f>IMSUM(IMPRODUCT(COMPLEX(-(Ported!C$14/Ported!C$24),0),H140),IMDIV(IMPRODUCT(COMPLEX(-Ported!C$41,0),J140),IMSUM(COMPLEX(Ported!C$41,0),IMPRODUCT(COMPLEX(Ported!C$42,0),C140))),IMDIV(IMPRODUCT(COMPLEX(Ported!C$42*Ported!C$14/Ported!C$24,0),C140,H140),IMSUM(COMPLEX(Ported!C$41,0),IMPRODUCT(COMPLEX(Ported!C$42,0),C140))))</f>
        <v>8.90143423928739E-07-2.08418694547522E-06i</v>
      </c>
      <c r="M140" s="28">
        <f t="shared" si="23"/>
        <v>-66.872970068729387</v>
      </c>
      <c r="N140" s="39" t="str">
        <f>IMPRODUCT(COMPLEX((Ported!C$10*Ported!C$14)/(2*PI()),0),C140,C140,H140)</f>
        <v>0.103791946087677+0.041592578862513i</v>
      </c>
      <c r="O140" s="28">
        <f t="shared" si="24"/>
        <v>21.83747260080791</v>
      </c>
      <c r="P140" s="26" t="str">
        <f>IMPRODUCT(COMPLEX((Ported!C$10*Ported!C$24)/(2*PI()),0),C140,C140,J140)</f>
        <v>0.00249220772222662+0.00106440658781668i</v>
      </c>
      <c r="Q140" s="23">
        <f t="shared" si="25"/>
        <v>23.127029931279019</v>
      </c>
      <c r="R140" s="41" t="str">
        <f>IMPRODUCT(COMPLEX((Ported!C$10*Ported!C$24)/(2*PI()),0),C140,C140,L140)</f>
        <v>-0.000988377545829373+0.00231419288492472i</v>
      </c>
      <c r="S140" s="33">
        <f t="shared" si="26"/>
        <v>113.1270299312706</v>
      </c>
      <c r="T140" s="38">
        <f>IMABS(IMDIV(D140,IMSUB(COMPLEX(1,0),IMPRODUCT(COMPLEX(Ported!C$18,0),IMPRODUCT(C140,H140)))))</f>
        <v>6.4542008154444472</v>
      </c>
      <c r="U140" s="21">
        <f>20*LOG10(Ported!C$29*50000*IMABS(N140))</f>
        <v>104.77667578124036</v>
      </c>
      <c r="V140" s="22">
        <f>20*LOG10(Ported!C$29*50000*IMABS(P140))</f>
        <v>72.465996549535575</v>
      </c>
      <c r="W140" s="22">
        <f>20*LOG10(Ported!C$29*50000*IMABS(R140))</f>
        <v>71.82230288210701</v>
      </c>
      <c r="X140" s="28">
        <f>1000*Ported!C$29*IMABS(H140)</f>
        <v>0.537947865192409</v>
      </c>
      <c r="Y140" s="28">
        <f>1000*Ported!C$29*IMABS(J140)</f>
        <v>7.5660105139249062E-2</v>
      </c>
      <c r="Z140" s="28">
        <f>Ported!C$29*IMABS(IMPRODUCT(C140,J140))</f>
        <v>9.2700359885365458E-2</v>
      </c>
      <c r="AA140" s="28">
        <f>1000*Ported!C$29*IMABS(L140)</f>
        <v>7.0255811915012706E-2</v>
      </c>
      <c r="AB140" s="41" t="str">
        <f t="shared" si="27"/>
        <v>0.105295776264074+0.0449711783352544i</v>
      </c>
      <c r="AC140" s="28">
        <f>20*LOG10(Ported!C$29*50000*IMABS(AB140))</f>
        <v>104.98253081524973</v>
      </c>
      <c r="AD140" s="28">
        <f t="shared" si="28"/>
        <v>177470.65033477035</v>
      </c>
      <c r="AE140" s="23">
        <f t="shared" si="29"/>
        <v>23.127029931279001</v>
      </c>
      <c r="AG140" s="64"/>
      <c r="AH140" s="1"/>
      <c r="AI140" s="1"/>
      <c r="AJ140" s="1"/>
      <c r="AK140" s="2"/>
      <c r="AL140" s="2"/>
      <c r="AM140" s="2"/>
      <c r="AN140" s="2"/>
      <c r="AO140" s="2"/>
      <c r="AP140" s="2"/>
      <c r="AQ140" s="3"/>
      <c r="AR140" s="3"/>
      <c r="AS140" s="2"/>
      <c r="AT140" s="8"/>
      <c r="AU140" s="8"/>
    </row>
    <row r="141" spans="2:47" x14ac:dyDescent="0.25">
      <c r="B141" s="25">
        <v>200</v>
      </c>
      <c r="C141" s="17" t="str">
        <f t="shared" si="20"/>
        <v>1256.63706143592i</v>
      </c>
      <c r="D141" s="18" t="str">
        <f>COMPLEX(Ported!C$19,2*PI()*B141*Ported!C$20)</f>
        <v>6</v>
      </c>
      <c r="E141" s="19" t="str">
        <f>IMSUB(COMPLEX(1,0),IMDIV(COMPLEX(Ported!C$41,0),IMSUM(COMPLEX(Ported!C$41,0),IMPRODUCT(C141,COMPLEX(Ported!C$42,0)))))</f>
        <v>0.999541027079402+0.0214187362945586i</v>
      </c>
      <c r="F141" s="19" t="str">
        <f>IMDIV(IMPRODUCT(C141,COMPLEX((Ported!C$42*Ported!C$14/Ported!C$24),0)),IMSUM(COMPLEX(Ported!C$41,0),IMPRODUCT(C141,COMPLEX(Ported!C$42,0))))</f>
        <v>5.80044533849187+0.124295257253397i</v>
      </c>
      <c r="G141" s="30" t="str">
        <f>IMPRODUCT(F141,IMSUB(COMPLEX(1,0),IMDIV(IMPRODUCT(COMPLEX(Ported!C$41,0),E141),IMSUM(COMPLEX(0-(2*PI()*B141)^2*Ported!C$38,0),IMPRODUCT(C141,COMPLEX(0,0)),IMPRODUCT(COMPLEX(Ported!C$41,0),E141)))))</f>
        <v>5.93383260554291+0.130080364023593i</v>
      </c>
      <c r="H141" s="32" t="str">
        <f>IMDIV(COMPLEX(Ported!C$18,0),IMPRODUCT(D141,IMSUM(COMPLEX(Ported!C$16-(2*PI()*B141)^2*Ported!C$15,0),IMPRODUCT(C141,IMSUM(COMPLEX(Ported!C$17,0),IMDIV(COMPLEX(Ported!C$18^2,0),D141))),IMPRODUCT(COMPLEX(Ported!C$14*Ported!C$41/Ported!C$24,0),G141))))</f>
        <v>-0.0000153888791888011-5.99658064358502E-06i</v>
      </c>
      <c r="I141" s="27">
        <f t="shared" si="21"/>
        <v>-158.71064228246942</v>
      </c>
      <c r="J141" s="20" t="str">
        <f>IMPRODUCT(IMDIV(IMPRODUCT(COMPLEX(-Ported!C$41,0),F141),IMSUM(IMPRODUCT(COMPLEX(Ported!C$41,0),E141),COMPLEX(Calculations!C$3-(2*PI()*B141)^2*Ported!C$38,0),IMPRODUCT(COMPLEX(Calculations!C$4,0),C141))),H141)</f>
        <v>-2.03703740325573E-06-8.45651176908003E-07i</v>
      </c>
      <c r="K141" s="27">
        <f t="shared" si="22"/>
        <v>-157.45481610723539</v>
      </c>
      <c r="L141" s="40" t="str">
        <f>IMSUM(IMPRODUCT(COMPLEX(-(Ported!C$14/Ported!C$24),0),H141),IMDIV(IMPRODUCT(COMPLEX(-Ported!C$41,0),J141),IMSUM(COMPLEX(Ported!C$41,0),IMPRODUCT(COMPLEX(Ported!C$42,0),C141))),IMDIV(IMPRODUCT(COMPLEX(Ported!C$42*Ported!C$14/Ported!C$24,0),C141,H141),IMSUM(COMPLEX(Ported!C$41,0),IMPRODUCT(COMPLEX(Ported!C$42,0),C141))))</f>
        <v>8.05382073245414E-07-1.94003562214842E-06i</v>
      </c>
      <c r="M141" s="28">
        <f t="shared" si="23"/>
        <v>-67.454816107244127</v>
      </c>
      <c r="N141" s="39" t="str">
        <f>IMPRODUCT(COMPLEX((Ported!C$10*Ported!C$14)/(2*PI()),0),C141,C141,H141)</f>
        <v>0.104308897507671+0.0406460215896284i</v>
      </c>
      <c r="O141" s="28">
        <f t="shared" si="24"/>
        <v>21.289357717530525</v>
      </c>
      <c r="P141" s="26" t="str">
        <f>IMPRODUCT(COMPLEX((Ported!C$10*Ported!C$24)/(2*PI()),0),C141,C141,J141)</f>
        <v>0.00237931890156139+0.000987745156828743i</v>
      </c>
      <c r="Q141" s="23">
        <f t="shared" si="25"/>
        <v>22.545183892764616</v>
      </c>
      <c r="R141" s="41" t="str">
        <f>IMPRODUCT(COMPLEX((Ported!C$10*Ported!C$24)/(2*PI()),0),C141,C141,L141)</f>
        <v>-0.000940709673169877+0.00226601800148716i</v>
      </c>
      <c r="S141" s="33">
        <f t="shared" si="26"/>
        <v>112.54518389275587</v>
      </c>
      <c r="T141" s="38">
        <f>IMABS(IMDIV(D141,IMSUB(COMPLEX(1,0),IMPRODUCT(COMPLEX(Ported!C$18,0),IMPRODUCT(C141,H141)))))</f>
        <v>6.43037619689248</v>
      </c>
      <c r="U141" s="21">
        <f>20*LOG10(Ported!C$29*50000*IMABS(N141))</f>
        <v>104.78699209583779</v>
      </c>
      <c r="V141" s="22">
        <f>20*LOG10(Ported!C$29*50000*IMABS(P141))</f>
        <v>72.026220567064186</v>
      </c>
      <c r="W141" s="22">
        <f>20*LOG10(Ported!C$29*50000*IMABS(R141))</f>
        <v>71.60243458566535</v>
      </c>
      <c r="X141" s="28">
        <f>1000*Ported!C$29*IMABS(H141)</f>
        <v>0.51199442907177739</v>
      </c>
      <c r="Y141" s="28">
        <f>1000*Ported!C$29*IMABS(J141)</f>
        <v>6.8373430883298933E-2</v>
      </c>
      <c r="Z141" s="28">
        <f>Ported!C$29*IMABS(IMPRODUCT(C141,J141))</f>
        <v>8.5920587265480811E-2</v>
      </c>
      <c r="AA141" s="28">
        <f>1000*Ported!C$29*IMABS(L141)</f>
        <v>6.5117553222188887E-2</v>
      </c>
      <c r="AB141" s="41" t="str">
        <f t="shared" si="27"/>
        <v>0.105747506736063+0.0438997847479443i</v>
      </c>
      <c r="AC141" s="28">
        <f>20*LOG10(Ported!C$29*50000*IMABS(AB141))</f>
        <v>104.98257020483703</v>
      </c>
      <c r="AD141" s="28">
        <f t="shared" si="28"/>
        <v>177471.45514715137</v>
      </c>
      <c r="AE141" s="23">
        <f t="shared" si="29"/>
        <v>22.545183892764459</v>
      </c>
      <c r="AG141" s="64"/>
      <c r="AH141" s="1"/>
      <c r="AI141" s="1"/>
      <c r="AJ141" s="1"/>
      <c r="AK141" s="2"/>
      <c r="AL141" s="2"/>
      <c r="AM141" s="2"/>
      <c r="AN141" s="2"/>
      <c r="AO141" s="2"/>
      <c r="AP141" s="2"/>
      <c r="AQ141" s="3"/>
      <c r="AR141" s="3"/>
      <c r="AS141" s="2"/>
      <c r="AT141" s="8"/>
      <c r="AU141" s="8"/>
    </row>
    <row r="142" spans="2:47" x14ac:dyDescent="0.25">
      <c r="B142" s="25">
        <v>204</v>
      </c>
      <c r="C142" s="17" t="str">
        <f t="shared" si="20"/>
        <v>1281.76980266464i</v>
      </c>
      <c r="D142" s="18" t="str">
        <f>COMPLEX(Ported!C$19,2*PI()*B142*Ported!C$20)</f>
        <v>6</v>
      </c>
      <c r="E142" s="19" t="str">
        <f>IMSUB(COMPLEX(1,0),IMDIV(COMPLEX(Ported!C$41,0),IMSUM(COMPLEX(Ported!C$41,0),IMPRODUCT(C142,COMPLEX(Ported!C$42,0)))))</f>
        <v>0.999558841694754+0.0209991353297217i</v>
      </c>
      <c r="F142" s="19" t="str">
        <f>IMDIV(IMPRODUCT(C142,COMPLEX((Ported!C$42*Ported!C$14/Ported!C$24),0)),IMSUM(COMPLEX(Ported!C$41,0),IMPRODUCT(C142,COMPLEX(Ported!C$42,0))))</f>
        <v>5.80054871864314+0.121860267198385i</v>
      </c>
      <c r="G142" s="30" t="str">
        <f>IMPRODUCT(F142,IMSUB(COMPLEX(1,0),IMDIV(IMPRODUCT(COMPLEX(Ported!C$41,0),E142),IMSUM(COMPLEX(0-(2*PI()*B142)^2*Ported!C$38,0),IMPRODUCT(C142,COMPLEX(0,0)),IMPRODUCT(COMPLEX(Ported!C$41,0),E142)))))</f>
        <v>5.92864907142407+0.127304577762042i</v>
      </c>
      <c r="H142" s="32" t="str">
        <f>IMDIV(COMPLEX(Ported!C$18,0),IMPRODUCT(D142,IMSUM(COMPLEX(Ported!C$16-(2*PI()*B142)^2*Ported!C$15,0),IMPRODUCT(C142,IMSUM(COMPLEX(Ported!C$17,0),IMDIV(COMPLEX(Ported!C$18^2,0),D142))),IMPRODUCT(COMPLEX(Ported!C$14*Ported!C$41/Ported!C$24,0),G142))))</f>
        <v>-0.0000148462312506089-5.66041547152417E-06i</v>
      </c>
      <c r="I142" s="27">
        <f t="shared" si="21"/>
        <v>-159.129675701244</v>
      </c>
      <c r="J142" s="20" t="str">
        <f>IMPRODUCT(IMDIV(IMPRODUCT(COMPLEX(-Ported!C$41,0),F142),IMSUM(IMPRODUCT(COMPLEX(Ported!C$41,0),E142),COMPLEX(Calculations!C$3-(2*PI()*B142)^2*Ported!C$38,0),IMPRODUCT(COMPLEX(Calculations!C$4,0),C142))),H142)</f>
        <v>-0.0000018879216763951-7.66622191389332E-07i</v>
      </c>
      <c r="K142" s="27">
        <f t="shared" si="22"/>
        <v>-157.89956506415646</v>
      </c>
      <c r="L142" s="40" t="str">
        <f>IMSUM(IMPRODUCT(COMPLEX(-(Ported!C$14/Ported!C$24),0),H142),IMDIV(IMPRODUCT(COMPLEX(-Ported!C$41,0),J142),IMSUM(COMPLEX(Ported!C$41,0),IMPRODUCT(COMPLEX(Ported!C$42,0),C142))),IMDIV(IMPRODUCT(COMPLEX(Ported!C$42*Ported!C$14/Ported!C$24,0),C142,H142),IMSUM(COMPLEX(Ported!C$41,0),IMPRODUCT(COMPLEX(Ported!C$42,0),C142))))</f>
        <v>7.44718700206436E-07-1.83398105706952E-06i</v>
      </c>
      <c r="M142" s="28">
        <f t="shared" si="23"/>
        <v>-67.8995650641656</v>
      </c>
      <c r="N142" s="39" t="str">
        <f>IMPRODUCT(COMPLEX((Ported!C$10*Ported!C$14)/(2*PI()),0),C142,C142,H142)</f>
        <v>0.104696202516736+0.039917470941405i</v>
      </c>
      <c r="O142" s="28">
        <f t="shared" si="24"/>
        <v>20.870324298755971</v>
      </c>
      <c r="P142" s="26" t="str">
        <f>IMPRODUCT(COMPLEX((Ported!C$10*Ported!C$24)/(2*PI()),0),C142,C142,J142)</f>
        <v>0.00229423535282623+0.000931612659432405i</v>
      </c>
      <c r="Q142" s="23">
        <f t="shared" si="25"/>
        <v>22.100434935843573</v>
      </c>
      <c r="R142" s="41" t="str">
        <f>IMPRODUCT(COMPLEX((Ported!C$10*Ported!C$24)/(2*PI()),0),C142,C142,L142)</f>
        <v>-0.000904995154876775+0.0022286857713169i</v>
      </c>
      <c r="S142" s="33">
        <f t="shared" si="26"/>
        <v>112.10043493583443</v>
      </c>
      <c r="T142" s="38">
        <f>IMABS(IMDIV(D142,IMSUB(COMPLEX(1,0),IMPRODUCT(COMPLEX(Ported!C$18,0),IMPRODUCT(C142,H142)))))</f>
        <v>6.4126647013915195</v>
      </c>
      <c r="U142" s="21">
        <f>20*LOG10(Ported!C$29*50000*IMABS(N142))</f>
        <v>104.79469711913276</v>
      </c>
      <c r="V142" s="22">
        <f>20*LOG10(Ported!C$29*50000*IMABS(P142))</f>
        <v>71.682243209332142</v>
      </c>
      <c r="W142" s="22">
        <f>20*LOG10(Ported!C$29*50000*IMABS(R142))</f>
        <v>71.430460663171132</v>
      </c>
      <c r="X142" s="28">
        <f>1000*Ported!C$29*IMABS(H142)</f>
        <v>0.49254979557016393</v>
      </c>
      <c r="Y142" s="28">
        <f>1000*Ported!C$29*IMABS(J142)</f>
        <v>6.3166696009465922E-2</v>
      </c>
      <c r="Z142" s="28">
        <f>Ported!C$29*IMABS(IMPRODUCT(C142,J142))</f>
        <v>8.0965163479030322E-2</v>
      </c>
      <c r="AA142" s="28">
        <f>1000*Ported!C$29*IMABS(L142)</f>
        <v>6.1361933266334136E-2</v>
      </c>
      <c r="AB142" s="41" t="str">
        <f t="shared" si="27"/>
        <v>0.106085442714685+0.0430777693721543i</v>
      </c>
      <c r="AC142" s="28">
        <f>20*LOG10(Ported!C$29*50000*IMABS(AB142))</f>
        <v>104.98259971758159</v>
      </c>
      <c r="AD142" s="28">
        <f t="shared" si="28"/>
        <v>177472.05815718722</v>
      </c>
      <c r="AE142" s="23">
        <f t="shared" si="29"/>
        <v>22.100434935843502</v>
      </c>
      <c r="AG142" s="64"/>
      <c r="AH142" s="1"/>
      <c r="AI142" s="1"/>
      <c r="AJ142" s="1"/>
      <c r="AK142" s="2"/>
      <c r="AL142" s="2"/>
      <c r="AM142" s="2"/>
      <c r="AN142" s="2"/>
      <c r="AO142" s="2"/>
      <c r="AP142" s="2"/>
      <c r="AQ142" s="3"/>
      <c r="AR142" s="3"/>
      <c r="AS142" s="2"/>
      <c r="AT142" s="8"/>
      <c r="AU142" s="8"/>
    </row>
    <row r="143" spans="2:47" x14ac:dyDescent="0.25">
      <c r="B143" s="25">
        <v>209</v>
      </c>
      <c r="C143" s="17" t="str">
        <f t="shared" si="20"/>
        <v>1313.18572920053i</v>
      </c>
      <c r="D143" s="18" t="str">
        <f>COMPLEX(Ported!C$19,2*PI()*B143*Ported!C$20)</f>
        <v>6</v>
      </c>
      <c r="E143" s="19" t="str">
        <f>IMSUB(COMPLEX(1,0),IMDIV(COMPLEX(Ported!C$41,0),IMSUM(COMPLEX(Ported!C$41,0),IMPRODUCT(C143,COMPLEX(Ported!C$42,0)))))</f>
        <v>0.999579688493132+0.0204971911516023i</v>
      </c>
      <c r="F143" s="19" t="str">
        <f>IMDIV(IMPRODUCT(C143,COMPLEX((Ported!C$42*Ported!C$14/Ported!C$24),0)),IMSUM(COMPLEX(Ported!C$41,0),IMPRODUCT(C143,COMPLEX(Ported!C$42,0))))</f>
        <v>5.80066969488243+0.11894743051707i</v>
      </c>
      <c r="G143" s="30" t="str">
        <f>IMPRODUCT(F143,IMSUB(COMPLEX(1,0),IMDIV(IMPRODUCT(COMPLEX(Ported!C$41,0),E143),IMSUM(COMPLEX(0-(2*PI()*B143)^2*Ported!C$38,0),IMPRODUCT(C143,COMPLEX(0,0)),IMPRODUCT(COMPLEX(Ported!C$41,0),E143)))))</f>
        <v>5.92259472680651+0.124002540971382i</v>
      </c>
      <c r="H143" s="32" t="str">
        <f>IMDIV(COMPLEX(Ported!C$18,0),IMPRODUCT(D143,IMSUM(COMPLEX(Ported!C$16-(2*PI()*B143)^2*Ported!C$15,0),IMPRODUCT(C143,IMSUM(COMPLEX(Ported!C$17,0),IMDIV(COMPLEX(Ported!C$18^2,0),D143))),IMPRODUCT(COMPLEX(Ported!C$14*Ported!C$41/Ported!C$24,0),G143))))</f>
        <v>-0.0000142057309558634-0.0000052743770260609i</v>
      </c>
      <c r="I143" s="27">
        <f t="shared" si="21"/>
        <v>-159.6307860606226</v>
      </c>
      <c r="J143" s="20" t="str">
        <f>IMPRODUCT(IMDIV(IMPRODUCT(COMPLEX(-Ported!C$41,0),F143),IMSUM(IMPRODUCT(COMPLEX(Ported!C$41,0),E143),COMPLEX(Calculations!C$3-(2*PI()*B143)^2*Ported!C$38,0),IMPRODUCT(COMPLEX(Calculations!C$4,0),C143))),H143)</f>
        <v>-1.72003104294133E-06-6.79920099516003E-07i</v>
      </c>
      <c r="K143" s="27">
        <f t="shared" si="22"/>
        <v>-158.4313482000704</v>
      </c>
      <c r="L143" s="40" t="str">
        <f>IMSUM(IMPRODUCT(COMPLEX(-(Ported!C$14/Ported!C$24),0),H143),IMDIV(IMPRODUCT(COMPLEX(-Ported!C$41,0),J143),IMSUM(COMPLEX(Ported!C$41,0),IMPRODUCT(COMPLEX(Ported!C$42,0),C143))),IMDIV(IMPRODUCT(COMPLEX(Ported!C$42*Ported!C$14/Ported!C$24,0),C143,H143),IMSUM(COMPLEX(Ported!C$41,0),IMPRODUCT(COMPLEX(Ported!C$42,0),C143))))</f>
        <v>6.76682384756304E-07-1.71184041892748E-06i</v>
      </c>
      <c r="M143" s="28">
        <f t="shared" si="23"/>
        <v>-68.431348200075078</v>
      </c>
      <c r="N143" s="39" t="str">
        <f>IMPRODUCT(COMPLEX((Ported!C$10*Ported!C$14)/(2*PI()),0),C143,C143,H143)</f>
        <v>0.105150303631788+0.0390407468283016i</v>
      </c>
      <c r="O143" s="28">
        <f t="shared" si="24"/>
        <v>20.369213939377378</v>
      </c>
      <c r="P143" s="26" t="str">
        <f>IMPRODUCT(COMPLEX((Ported!C$10*Ported!C$24)/(2*PI()),0),C143,C143,J143)</f>
        <v>0.00219392873953094+0.000867249607519892i</v>
      </c>
      <c r="Q143" s="23">
        <f t="shared" si="25"/>
        <v>21.568651799929629</v>
      </c>
      <c r="R143" s="41" t="str">
        <f>IMPRODUCT(COMPLEX((Ported!C$10*Ported!C$24)/(2*PI()),0),C143,C143,L143)</f>
        <v>-0.000863119847483957+0.00218348145981909i</v>
      </c>
      <c r="S143" s="33">
        <f t="shared" si="26"/>
        <v>111.56865179992495</v>
      </c>
      <c r="T143" s="38">
        <f>IMABS(IMDIV(D143,IMSUB(COMPLEX(1,0),IMPRODUCT(COMPLEX(Ported!C$18,0),IMPRODUCT(C143,H143)))))</f>
        <v>6.3920475159898071</v>
      </c>
      <c r="U143" s="21">
        <f>20*LOG10(Ported!C$29*50000*IMABS(N143))</f>
        <v>104.80370490175946</v>
      </c>
      <c r="V143" s="22">
        <f>20*LOG10(Ported!C$29*50000*IMABS(P143))</f>
        <v>71.261633068589447</v>
      </c>
      <c r="W143" s="22">
        <f>20*LOG10(Ported!C$29*50000*IMABS(R143))</f>
        <v>71.220172896132667</v>
      </c>
      <c r="X143" s="28">
        <f>1000*Ported!C$29*IMABS(H143)</f>
        <v>0.46975162910657531</v>
      </c>
      <c r="Y143" s="28">
        <f>1000*Ported!C$29*IMABS(J143)</f>
        <v>5.7335739319570915E-2</v>
      </c>
      <c r="Z143" s="28">
        <f>Ported!C$29*IMABS(IMPRODUCT(C143,J143))</f>
        <v>7.5292474647622273E-2</v>
      </c>
      <c r="AA143" s="28">
        <f>1000*Ported!C$29*IMABS(L143)</f>
        <v>5.706271198948111E-2</v>
      </c>
      <c r="AB143" s="41" t="str">
        <f t="shared" si="27"/>
        <v>0.106481112523835+0.0420914778956406i</v>
      </c>
      <c r="AC143" s="28">
        <f>20*LOG10(Ported!C$29*50000*IMABS(AB143))</f>
        <v>104.98263432424515</v>
      </c>
      <c r="AD143" s="28">
        <f t="shared" si="28"/>
        <v>177472.76524975931</v>
      </c>
      <c r="AE143" s="23">
        <f t="shared" si="29"/>
        <v>21.568651799929594</v>
      </c>
      <c r="AG143" s="64"/>
      <c r="AH143" s="1"/>
      <c r="AI143" s="1"/>
      <c r="AJ143" s="1"/>
      <c r="AK143" s="2"/>
      <c r="AL143" s="2"/>
      <c r="AM143" s="2"/>
      <c r="AN143" s="2"/>
      <c r="AO143" s="2"/>
      <c r="AP143" s="2"/>
      <c r="AQ143" s="3"/>
      <c r="AR143" s="3"/>
      <c r="AS143" s="2"/>
      <c r="AT143" s="8"/>
      <c r="AU143" s="8"/>
    </row>
    <row r="144" spans="2:47" x14ac:dyDescent="0.25">
      <c r="B144" s="25">
        <v>214</v>
      </c>
      <c r="C144" s="17" t="str">
        <f t="shared" si="20"/>
        <v>1344.60165573643i</v>
      </c>
      <c r="D144" s="18" t="str">
        <f>COMPLEX(Ported!C$19,2*PI()*B144*Ported!C$20)</f>
        <v>6</v>
      </c>
      <c r="E144" s="19" t="str">
        <f>IMSUB(COMPLEX(1,0),IMDIV(COMPLEX(Ported!C$41,0),IMSUM(COMPLEX(Ported!C$41,0),IMPRODUCT(C144,COMPLEX(Ported!C$42,0)))))</f>
        <v>0.999599091987898+0.0200186734042971i</v>
      </c>
      <c r="F144" s="19" t="str">
        <f>IMDIV(IMPRODUCT(C144,COMPLEX((Ported!C$42*Ported!C$14/Ported!C$24),0)),IMSUM(COMPLEX(Ported!C$41,0),IMPRODUCT(C144,COMPLEX(Ported!C$42,0))))</f>
        <v>5.80078229547381+0.11617053996276i</v>
      </c>
      <c r="G144" s="30" t="str">
        <f>IMPRODUCT(F144,IMSUB(COMPLEX(1,0),IMDIV(IMPRODUCT(COMPLEX(Ported!C$41,0),E144),IMSUM(COMPLEX(0-(2*PI()*B144)^2*Ported!C$38,0),IMPRODUCT(C144,COMPLEX(0,0)),IMPRODUCT(COMPLEX(Ported!C$41,0),E144)))))</f>
        <v>5.91697062802998+0.120872847189544i</v>
      </c>
      <c r="H144" s="32" t="str">
        <f>IMDIV(COMPLEX(Ported!C$18,0),IMPRODUCT(D144,IMSUM(COMPLEX(Ported!C$16-(2*PI()*B144)^2*Ported!C$15,0),IMPRODUCT(C144,IMSUM(COMPLEX(Ported!C$17,0),IMDIV(COMPLEX(Ported!C$18^2,0),D144))),IMPRODUCT(COMPLEX(Ported!C$14*Ported!C$41/Ported!C$24,0),G144))))</f>
        <v>-0.0000136042400561873-4.92242237685082E-06i</v>
      </c>
      <c r="I144" s="27">
        <f t="shared" si="21"/>
        <v>-160.10835549765056</v>
      </c>
      <c r="J144" s="20" t="str">
        <f>IMPRODUCT(IMDIV(IMPRODUCT(COMPLEX(-Ported!C$41,0),F144),IMSUM(IMPRODUCT(COMPLEX(Ported!C$41,0),E144),COMPLEX(Calculations!C$3-(2*PI()*B144)^2*Ported!C$38,0),IMPRODUCT(COMPLEX(Calculations!C$4,0),C144))),H144)</f>
        <v>-1.57024219275117E-06-6.04707630946429E-07i</v>
      </c>
      <c r="K144" s="27">
        <f t="shared" si="22"/>
        <v>-158.9380706817027</v>
      </c>
      <c r="L144" s="40" t="str">
        <f>IMSUM(IMPRODUCT(COMPLEX(-(Ported!C$14/Ported!C$24),0),H144),IMDIV(IMPRODUCT(COMPLEX(-Ported!C$41,0),J144),IMSUM(COMPLEX(Ported!C$41,0),IMPRODUCT(COMPLEX(Ported!C$42,0),C144))),IMDIV(IMPRODUCT(COMPLEX(Ported!C$42*Ported!C$14/Ported!C$24,0),C144,H144),IMSUM(COMPLEX(Ported!C$41,0),IMPRODUCT(COMPLEX(Ported!C$42,0),C144))))</f>
        <v>6.16225871535826E-07-1.60015156785121E-06i</v>
      </c>
      <c r="M144" s="28">
        <f t="shared" si="23"/>
        <v>-68.938070681704744</v>
      </c>
      <c r="N144" s="39" t="str">
        <f>IMPRODUCT(COMPLEX((Ported!C$10*Ported!C$14)/(2*PI()),0),C144,C144,H144)</f>
        <v>0.105573812964225+0.0381997742761245i</v>
      </c>
      <c r="O144" s="28">
        <f t="shared" si="24"/>
        <v>19.891644502349514</v>
      </c>
      <c r="P144" s="26" t="str">
        <f>IMPRODUCT(COMPLEX((Ported!C$10*Ported!C$24)/(2*PI()),0),C144,C144,J144)</f>
        <v>0.00209984795392204+0.000808661292777478i</v>
      </c>
      <c r="Q144" s="23">
        <f t="shared" si="25"/>
        <v>21.061929318297292</v>
      </c>
      <c r="R144" s="41" t="str">
        <f>IMPRODUCT(COMPLEX((Ported!C$10*Ported!C$24)/(2*PI()),0),C144,C144,L144)</f>
        <v>-0.00082406436502078+0.00213984505780629i</v>
      </c>
      <c r="S144" s="33">
        <f t="shared" si="26"/>
        <v>111.06192931829527</v>
      </c>
      <c r="T144" s="38">
        <f>IMABS(IMDIV(D144,IMSUB(COMPLEX(1,0),IMPRODUCT(COMPLEX(Ported!C$18,0),IMPRODUCT(C144,H144)))))</f>
        <v>6.3729625030176189</v>
      </c>
      <c r="U144" s="21">
        <f>20*LOG10(Ported!C$29*50000*IMABS(N144))</f>
        <v>104.81208063410898</v>
      </c>
      <c r="V144" s="22">
        <f>20*LOG10(Ported!C$29*50000*IMABS(P144))</f>
        <v>70.850965860156663</v>
      </c>
      <c r="W144" s="22">
        <f>20*LOG10(Ported!C$29*50000*IMABS(R144))</f>
        <v>71.01485543246207</v>
      </c>
      <c r="X144" s="28">
        <f>1000*Ported!C$29*IMABS(H144)</f>
        <v>0.44848932157806776</v>
      </c>
      <c r="Y144" s="28">
        <f>1000*Ported!C$29*IMABS(J144)</f>
        <v>5.2162341973600375E-2</v>
      </c>
      <c r="Z144" s="28">
        <f>Ported!C$29*IMABS(IMPRODUCT(C144,J144))</f>
        <v>7.0137571384793096E-2</v>
      </c>
      <c r="AA144" s="28">
        <f>1000*Ported!C$29*IMABS(L144)</f>
        <v>5.3155910392145012E-2</v>
      </c>
      <c r="AB144" s="41" t="str">
        <f t="shared" si="27"/>
        <v>0.106849596553126+0.0411482806267083i</v>
      </c>
      <c r="AC144" s="28">
        <f>20*LOG10(Ported!C$29*50000*IMABS(AB144))</f>
        <v>104.98266660533778</v>
      </c>
      <c r="AD144" s="28">
        <f t="shared" si="28"/>
        <v>177473.4248281857</v>
      </c>
      <c r="AE144" s="23">
        <f t="shared" si="29"/>
        <v>21.061929318297409</v>
      </c>
      <c r="AG144" s="64"/>
      <c r="AH144" s="1"/>
      <c r="AI144" s="1"/>
      <c r="AJ144" s="1"/>
      <c r="AK144" s="2"/>
      <c r="AL144" s="2"/>
      <c r="AM144" s="2"/>
      <c r="AN144" s="2"/>
      <c r="AO144" s="2"/>
      <c r="AP144" s="2"/>
      <c r="AQ144" s="3"/>
      <c r="AR144" s="3"/>
      <c r="AS144" s="2"/>
      <c r="AT144" s="8"/>
      <c r="AU144" s="8"/>
    </row>
    <row r="145" spans="2:47" x14ac:dyDescent="0.25">
      <c r="B145" s="25">
        <v>219</v>
      </c>
      <c r="C145" s="17" t="str">
        <f t="shared" si="20"/>
        <v>1376.01758227233i</v>
      </c>
      <c r="D145" s="18" t="str">
        <f>COMPLEX(Ported!C$19,2*PI()*B145*Ported!C$20)</f>
        <v>6</v>
      </c>
      <c r="E145" s="19" t="str">
        <f>IMSUB(COMPLEX(1,0),IMDIV(COMPLEX(Ported!C$41,0),IMSUM(COMPLEX(Ported!C$41,0),IMPRODUCT(C145,COMPLEX(Ported!C$42,0)))))</f>
        <v>0.999617182385796+0.0195619800858278i</v>
      </c>
      <c r="F145" s="19" t="str">
        <f>IMDIV(IMPRODUCT(C145,COMPLEX((Ported!C$42*Ported!C$14/Ported!C$24),0)),IMSUM(COMPLEX(Ported!C$41,0),IMPRODUCT(C145,COMPLEX(Ported!C$42,0))))</f>
        <v>5.80088727602122+0.113520298943664i</v>
      </c>
      <c r="G145" s="30" t="str">
        <f>IMPRODUCT(F145,IMSUB(COMPLEX(1,0),IMDIV(IMPRODUCT(COMPLEX(Ported!C$41,0),E145),IMSUM(COMPLEX(0-(2*PI()*B145)^2*Ported!C$38,0),IMPRODUCT(C145,COMPLEX(0,0)),IMPRODUCT(COMPLEX(Ported!C$41,0),E145)))))</f>
        <v>5.91173672643265+0.117902024705512i</v>
      </c>
      <c r="H145" s="32" t="str">
        <f>IMDIV(COMPLEX(Ported!C$18,0),IMPRODUCT(D145,IMSUM(COMPLEX(Ported!C$16-(2*PI()*B145)^2*Ported!C$15,0),IMPRODUCT(C145,IMSUM(COMPLEX(Ported!C$17,0),IMDIV(COMPLEX(Ported!C$18^2,0),D145))),IMPRODUCT(COMPLEX(Ported!C$14*Ported!C$41/Ported!C$24,0),G145))))</f>
        <v>-0.000013038807270124-4.60089748684284E-06i</v>
      </c>
      <c r="I145" s="27">
        <f t="shared" si="21"/>
        <v>-160.56400754789649</v>
      </c>
      <c r="J145" s="20" t="str">
        <f>IMPRODUCT(IMDIV(IMPRODUCT(COMPLEX(-Ported!C$41,0),F145),IMSUM(IMPRODUCT(COMPLEX(Ported!C$41,0),E145),COMPLEX(Calculations!C$3-(2*PI()*B145)^2*Ported!C$38,0),IMPRODUCT(COMPLEX(Calculations!C$4,0),C145))),H145)</f>
        <v>-1.43628336795848E-06-5.39249323032706E-07i</v>
      </c>
      <c r="K145" s="27">
        <f t="shared" si="22"/>
        <v>-159.42146800413917</v>
      </c>
      <c r="L145" s="40" t="str">
        <f>IMSUM(IMPRODUCT(COMPLEX(-(Ported!C$14/Ported!C$24),0),H145),IMDIV(IMPRODUCT(COMPLEX(-Ported!C$41,0),J145),IMSUM(COMPLEX(Ported!C$41,0),IMPRODUCT(COMPLEX(Ported!C$42,0),C145))),IMDIV(IMPRODUCT(COMPLEX(Ported!C$42*Ported!C$14/Ported!C$24,0),C145,H145),IMSUM(COMPLEX(Ported!C$41,0),IMPRODUCT(COMPLEX(Ported!C$42,0),C145))))</f>
        <v>5.62360008305297E-07-1.49783836944241E-06i</v>
      </c>
      <c r="M145" s="28">
        <f t="shared" si="23"/>
        <v>-69.421468004147144</v>
      </c>
      <c r="N145" s="39" t="str">
        <f>IMPRODUCT(COMPLEX((Ported!C$10*Ported!C$14)/(2*PI()),0),C145,C145,H145)</f>
        <v>0.10596939850953+0.0373925566337562i</v>
      </c>
      <c r="O145" s="28">
        <f t="shared" si="24"/>
        <v>19.435992452103484</v>
      </c>
      <c r="P145" s="26" t="str">
        <f>IMPRODUCT(COMPLEX((Ported!C$10*Ported!C$24)/(2*PI()),0),C145,C145,J145)</f>
        <v>0.00201150918984013+0.000755216549250408i</v>
      </c>
      <c r="Q145" s="23">
        <f t="shared" si="25"/>
        <v>20.578531995860825</v>
      </c>
      <c r="R145" s="41" t="str">
        <f>IMPRODUCT(COMPLEX((Ported!C$10*Ported!C$24)/(2*PI()),0),C145,C145,L145)</f>
        <v>-0.000787582972789376+0.00209771672654756i</v>
      </c>
      <c r="S145" s="33">
        <f t="shared" si="26"/>
        <v>110.57853199585284</v>
      </c>
      <c r="T145" s="38">
        <f>IMABS(IMDIV(D145,IMSUB(COMPLEX(1,0),IMPRODUCT(COMPLEX(Ported!C$18,0),IMPRODUCT(C145,H145)))))</f>
        <v>6.3552593295699866</v>
      </c>
      <c r="U145" s="21">
        <f>20*LOG10(Ported!C$29*50000*IMABS(N145))</f>
        <v>104.8198822678595</v>
      </c>
      <c r="V145" s="22">
        <f>20*LOG10(Ported!C$29*50000*IMABS(P145))</f>
        <v>70.449782359790731</v>
      </c>
      <c r="W145" s="22">
        <f>20*LOG10(Ported!C$29*50000*IMABS(R145))</f>
        <v>70.814278761914238</v>
      </c>
      <c r="X145" s="28">
        <f>1000*Ported!C$29*IMABS(H145)</f>
        <v>0.42862895534029438</v>
      </c>
      <c r="Y145" s="28">
        <f>1000*Ported!C$29*IMABS(J145)</f>
        <v>4.755949385130414E-2</v>
      </c>
      <c r="Z145" s="28">
        <f>Ported!C$29*IMABS(IMPRODUCT(C145,J145))</f>
        <v>6.5442699743367347E-2</v>
      </c>
      <c r="AA145" s="28">
        <f>1000*Ported!C$29*IMABS(L145)</f>
        <v>4.9597757873500146E-2</v>
      </c>
      <c r="AB145" s="41" t="str">
        <f t="shared" si="27"/>
        <v>0.107193324726581+0.0402454899095542i</v>
      </c>
      <c r="AC145" s="28">
        <f>20*LOG10(Ported!C$29*50000*IMABS(AB145))</f>
        <v>104.982696764609</v>
      </c>
      <c r="AD145" s="28">
        <f t="shared" si="28"/>
        <v>177474.04105503976</v>
      </c>
      <c r="AE145" s="23">
        <f t="shared" si="29"/>
        <v>20.578531995860722</v>
      </c>
      <c r="AG145" s="64"/>
      <c r="AH145" s="1"/>
      <c r="AI145" s="1"/>
      <c r="AJ145" s="1"/>
      <c r="AK145" s="2"/>
      <c r="AL145" s="2"/>
      <c r="AM145" s="2"/>
      <c r="AN145" s="2"/>
      <c r="AO145" s="2"/>
      <c r="AP145" s="2"/>
      <c r="AQ145" s="3"/>
      <c r="AR145" s="3"/>
      <c r="AS145" s="2"/>
      <c r="AT145" s="8"/>
      <c r="AU145" s="8"/>
    </row>
    <row r="146" spans="2:47" x14ac:dyDescent="0.25">
      <c r="B146" s="25">
        <v>224</v>
      </c>
      <c r="C146" s="17" t="str">
        <f t="shared" si="20"/>
        <v>1407.43350880823i</v>
      </c>
      <c r="D146" s="18" t="str">
        <f>COMPLEX(Ported!C$19,2*PI()*B146*Ported!C$20)</f>
        <v>6</v>
      </c>
      <c r="E146" s="19" t="str">
        <f>IMSUB(COMPLEX(1,0),IMDIV(COMPLEX(Ported!C$41,0),IMSUM(COMPLEX(Ported!C$41,0),IMPRODUCT(C146,COMPLEX(Ported!C$42,0)))))</f>
        <v>0.999634075536567+0.019125651955419i</v>
      </c>
      <c r="F146" s="19" t="str">
        <f>IMDIV(IMPRODUCT(C146,COMPLEX((Ported!C$42*Ported!C$14/Ported!C$24),0)),IMSUM(COMPLEX(Ported!C$41,0),IMPRODUCT(C146,COMPLEX(Ported!C$42,0))))</f>
        <v>5.80098530881325+0.110988239326784i</v>
      </c>
      <c r="G146" s="30" t="str">
        <f>IMPRODUCT(F146,IMSUB(COMPLEX(1,0),IMDIV(IMPRODUCT(COMPLEX(Ported!C$41,0),E146),IMSUM(COMPLEX(0-(2*PI()*B146)^2*Ported!C$38,0),IMPRODUCT(C146,COMPLEX(0,0)),IMPRODUCT(COMPLEX(Ported!C$41,0),E146)))))</f>
        <v>5.90685755114462+0.11507799434002i</v>
      </c>
      <c r="H146" s="32" t="str">
        <f>IMDIV(COMPLEX(Ported!C$18,0),IMPRODUCT(D146,IMSUM(COMPLEX(Ported!C$16-(2*PI()*B146)^2*Ported!C$15,0),IMPRODUCT(C146,IMSUM(COMPLEX(Ported!C$17,0),IMDIV(COMPLEX(Ported!C$18^2,0),D146))),IMPRODUCT(COMPLEX(Ported!C$14*Ported!C$41/Ported!C$24,0),G146))))</f>
        <v>-0.0000125067359874783-4.30660510731933E-06i</v>
      </c>
      <c r="I146" s="27">
        <f t="shared" si="21"/>
        <v>-160.99921956556221</v>
      </c>
      <c r="J146" s="20" t="str">
        <f>IMPRODUCT(IMDIV(IMPRODUCT(COMPLEX(-Ported!C$41,0),F146),IMSUM(IMPRODUCT(COMPLEX(Ported!C$41,0),E146),COMPLEX(Calculations!C$3-(2*PI()*B146)^2*Ported!C$38,0),IMPRODUCT(COMPLEX(Calculations!C$4,0),C146))),H146)</f>
        <v>-1.31620538079319E-06-4.82102552854584E-07i</v>
      </c>
      <c r="K146" s="27">
        <f t="shared" si="22"/>
        <v>-159.88311860445725</v>
      </c>
      <c r="L146" s="40" t="str">
        <f>IMSUM(IMPRODUCT(COMPLEX(-(Ported!C$14/Ported!C$24),0),H146),IMDIV(IMPRODUCT(COMPLEX(-Ported!C$41,0),J146),IMSUM(COMPLEX(Ported!C$41,0),IMPRODUCT(COMPLEX(Ported!C$42,0),C146))),IMDIV(IMPRODUCT(COMPLEX(Ported!C$42*Ported!C$14/Ported!C$24,0),C146,H146),IMSUM(COMPLEX(Ported!C$41,0),IMPRODUCT(COMPLEX(Ported!C$42,0),C146))))</f>
        <v>5.1424272304475E-07-1.40395240617943E-06i</v>
      </c>
      <c r="M146" s="28">
        <f t="shared" si="23"/>
        <v>-69.883118604462638</v>
      </c>
      <c r="N146" s="39" t="str">
        <f>IMPRODUCT(COMPLEX((Ported!C$10*Ported!C$14)/(2*PI()),0),C146,C146,H146)</f>
        <v>0.106339445756297+0.0366172277612707i</v>
      </c>
      <c r="O146" s="28">
        <f t="shared" si="24"/>
        <v>19.000780434437722</v>
      </c>
      <c r="P146" s="26" t="str">
        <f>IMPRODUCT(COMPLEX((Ported!C$10*Ported!C$24)/(2*PI()),0),C146,C146,J146)</f>
        <v>0.00192847209290008+0.000706364928044642i</v>
      </c>
      <c r="Q146" s="23">
        <f t="shared" si="25"/>
        <v>20.116881395542769</v>
      </c>
      <c r="R146" s="41" t="str">
        <f>IMPRODUCT(COMPLEX((Ported!C$10*Ported!C$24)/(2*PI()),0),C146,C146,L146)</f>
        <v>-0.000753455923247414+0.00205703689909346i</v>
      </c>
      <c r="S146" s="33">
        <f t="shared" si="26"/>
        <v>110.11688139553738</v>
      </c>
      <c r="T146" s="38">
        <f>IMABS(IMDIV(D146,IMSUB(COMPLEX(1,0),IMPRODUCT(COMPLEX(Ported!C$18,0),IMPRODUCT(C146,H146)))))</f>
        <v>6.338805893792812</v>
      </c>
      <c r="U146" s="21">
        <f>20*LOG10(Ported!C$29*50000*IMABS(N146))</f>
        <v>104.82716124320288</v>
      </c>
      <c r="V146" s="22">
        <f>20*LOG10(Ported!C$29*50000*IMABS(P146))</f>
        <v>70.057654439241162</v>
      </c>
      <c r="W146" s="22">
        <f>20*LOG10(Ported!C$29*50000*IMABS(R146))</f>
        <v>70.618228911245907</v>
      </c>
      <c r="X146" s="28">
        <f>1000*Ported!C$29*IMABS(H146)</f>
        <v>0.41005078490236996</v>
      </c>
      <c r="Y146" s="28">
        <f>1000*Ported!C$29*IMABS(J146)</f>
        <v>4.3453325722409751E-2</v>
      </c>
      <c r="Z146" s="28">
        <f>Ported!C$29*IMABS(IMPRODUCT(C146,J146))</f>
        <v>6.1157666690878021E-2</v>
      </c>
      <c r="AA146" s="28">
        <f>1000*Ported!C$29*IMABS(L146)</f>
        <v>4.635021410390304E-2</v>
      </c>
      <c r="AB146" s="41" t="str">
        <f t="shared" si="27"/>
        <v>0.10751446192595+0.0393806295884088i</v>
      </c>
      <c r="AC146" s="28">
        <f>20*LOG10(Ported!C$29*50000*IMABS(AB146))</f>
        <v>104.98272498382121</v>
      </c>
      <c r="AD146" s="28">
        <f t="shared" si="28"/>
        <v>177474.61764373371</v>
      </c>
      <c r="AE146" s="23">
        <f t="shared" si="29"/>
        <v>20.116881395542638</v>
      </c>
      <c r="AG146" s="64"/>
      <c r="AH146" s="1"/>
      <c r="AI146" s="1"/>
      <c r="AJ146" s="1"/>
      <c r="AK146" s="2"/>
      <c r="AL146" s="2"/>
      <c r="AM146" s="2"/>
      <c r="AN146" s="2"/>
      <c r="AO146" s="2"/>
      <c r="AP146" s="2"/>
      <c r="AQ146" s="3"/>
      <c r="AR146" s="3"/>
      <c r="AS146" s="2"/>
      <c r="AT146" s="8"/>
      <c r="AU146" s="8"/>
    </row>
    <row r="147" spans="2:47" x14ac:dyDescent="0.25">
      <c r="B147" s="25">
        <v>229</v>
      </c>
      <c r="C147" s="17" t="str">
        <f t="shared" si="20"/>
        <v>1438.84943534413i</v>
      </c>
      <c r="D147" s="18" t="str">
        <f>COMPLEX(Ported!C$19,2*PI()*B147*Ported!C$20)</f>
        <v>6</v>
      </c>
      <c r="E147" s="19" t="str">
        <f>IMSUB(COMPLEX(1,0),IMDIV(COMPLEX(Ported!C$41,0),IMSUM(COMPLEX(Ported!C$41,0),IMPRODUCT(C147,COMPLEX(Ported!C$42,0)))))</f>
        <v>0.999649874791335+0.0187083569829944i</v>
      </c>
      <c r="F147" s="19" t="str">
        <f>IMDIV(IMPRODUCT(C147,COMPLEX((Ported!C$42*Ported!C$14/Ported!C$24),0)),IMSUM(COMPLEX(Ported!C$41,0),IMPRODUCT(C147,COMPLEX(Ported!C$42,0))))</f>
        <v>5.80107699360775+0.108566631196652i</v>
      </c>
      <c r="G147" s="30" t="str">
        <f>IMPRODUCT(F147,IMSUB(COMPLEX(1,0),IMDIV(IMPRODUCT(COMPLEX(Ported!C$41,0),E147),IMSUM(COMPLEX(0-(2*PI()*B147)^2*Ported!C$38,0),IMPRODUCT(C147,COMPLEX(0,0)),IMPRODUCT(COMPLEX(Ported!C$41,0),E147)))))</f>
        <v>5.90230159221719+0.112389891926628i</v>
      </c>
      <c r="H147" s="32" t="str">
        <f>IMDIV(COMPLEX(Ported!C$18,0),IMPRODUCT(D147,IMSUM(COMPLEX(Ported!C$16-(2*PI()*B147)^2*Ported!C$15,0),IMPRODUCT(C147,IMSUM(COMPLEX(Ported!C$17,0),IMDIV(COMPLEX(Ported!C$18^2,0),D147))),IMPRODUCT(COMPLEX(Ported!C$14*Ported!C$41/Ported!C$24,0),G147))))</f>
        <v>-0.0000120055613347683-4.03674003230193E-06i</v>
      </c>
      <c r="I147" s="27">
        <f t="shared" si="21"/>
        <v>-161.41533884020637</v>
      </c>
      <c r="J147" s="20" t="str">
        <f>IMPRODUCT(IMDIV(IMPRODUCT(COMPLEX(-Ported!C$41,0),F147),IMSUM(IMPRODUCT(COMPLEX(Ported!C$41,0),E147),COMPLEX(Calculations!C$3-(2*PI()*B147)^2*Ported!C$38,0),IMPRODUCT(COMPLEX(Calculations!C$4,0),C147))),H147)</f>
        <v>-1.20833087670197E-06-4.32063171466222E-07i</v>
      </c>
      <c r="K147" s="27">
        <f t="shared" si="22"/>
        <v>-160.3244612820223</v>
      </c>
      <c r="L147" s="40" t="str">
        <f>IMSUM(IMPRODUCT(COMPLEX(-(Ported!C$14/Ported!C$24),0),H147),IMDIV(IMPRODUCT(COMPLEX(-Ported!C$41,0),J147),IMSUM(COMPLEX(Ported!C$41,0),IMPRODUCT(COMPLEX(Ported!C$42,0),C147))),IMDIV(IMPRODUCT(COMPLEX(Ported!C$42*Ported!C$14/Ported!C$24,0),C147,H147),IMSUM(COMPLEX(Ported!C$41,0),IMPRODUCT(COMPLEX(Ported!C$42,0),C147))))</f>
        <v>4.71154601265332E-07-1.31765605126075E-06i</v>
      </c>
      <c r="M147" s="28">
        <f t="shared" si="23"/>
        <v>-70.324461282031024</v>
      </c>
      <c r="N147" s="39" t="str">
        <f>IMPRODUCT(COMPLEX((Ported!C$10*Ported!C$14)/(2*PI()),0),C147,C147,H147)</f>
        <v>0.106686092560182+0.0358720436903142i</v>
      </c>
      <c r="O147" s="28">
        <f t="shared" si="24"/>
        <v>18.58466115979363</v>
      </c>
      <c r="P147" s="26" t="str">
        <f>IMPRODUCT(COMPLEX((Ported!C$10*Ported!C$24)/(2*PI()),0),C147,C147,J147)</f>
        <v>0.00185033557120043+0.000661624949410943i</v>
      </c>
      <c r="Q147" s="23">
        <f t="shared" si="25"/>
        <v>19.675538717977684</v>
      </c>
      <c r="R147" s="41" t="str">
        <f>IMPRODUCT(COMPLEX((Ported!C$10*Ported!C$24)/(2*PI()),0),C147,C147,L147)</f>
        <v>-0.000721486254357318+0.00201774688478528i</v>
      </c>
      <c r="S147" s="33">
        <f t="shared" si="26"/>
        <v>109.67553871796895</v>
      </c>
      <c r="T147" s="38">
        <f>IMABS(IMDIV(D147,IMSUB(COMPLEX(1,0),IMPRODUCT(COMPLEX(Ported!C$18,0),IMPRODUCT(C147,H147)))))</f>
        <v>6.3234857051325646</v>
      </c>
      <c r="U147" s="21">
        <f>20*LOG10(Ported!C$29*50000*IMABS(N147))</f>
        <v>104.83396334985841</v>
      </c>
      <c r="V147" s="22">
        <f>20*LOG10(Ported!C$29*50000*IMABS(P147))</f>
        <v>69.674182320775785</v>
      </c>
      <c r="W147" s="22">
        <f>20*LOG10(Ported!C$29*50000*IMABS(R147))</f>
        <v>70.426506072894895</v>
      </c>
      <c r="X147" s="28">
        <f>1000*Ported!C$29*IMABS(H147)</f>
        <v>0.39264748936198862</v>
      </c>
      <c r="Y147" s="28">
        <f>1000*Ported!C$29*IMABS(J147)</f>
        <v>3.9780889257926069E-2</v>
      </c>
      <c r="Z147" s="28">
        <f>Ported!C$29*IMABS(IMPRODUCT(C147,J147))</f>
        <v>5.7238710046254387E-2</v>
      </c>
      <c r="AA147" s="28">
        <f>1000*Ported!C$29*IMABS(L147)</f>
        <v>4.3380112571737073E-2</v>
      </c>
      <c r="AB147" s="41" t="str">
        <f t="shared" si="27"/>
        <v>0.107814941877025+0.0385514155245104i</v>
      </c>
      <c r="AC147" s="28">
        <f>20*LOG10(Ported!C$29*50000*IMABS(AB147))</f>
        <v>104.98275142558487</v>
      </c>
      <c r="AD147" s="28">
        <f t="shared" si="28"/>
        <v>177475.15791643268</v>
      </c>
      <c r="AE147" s="23">
        <f t="shared" si="29"/>
        <v>19.675538717977595</v>
      </c>
      <c r="AG147" s="64"/>
      <c r="AH147" s="1"/>
      <c r="AI147" s="1"/>
      <c r="AJ147" s="1"/>
      <c r="AK147" s="2"/>
      <c r="AL147" s="2"/>
      <c r="AM147" s="2"/>
      <c r="AN147" s="2"/>
      <c r="AO147" s="2"/>
      <c r="AP147" s="2"/>
      <c r="AQ147" s="3"/>
      <c r="AR147" s="3"/>
      <c r="AS147" s="2"/>
      <c r="AT147" s="8"/>
      <c r="AU147" s="8"/>
    </row>
    <row r="148" spans="2:47" x14ac:dyDescent="0.25">
      <c r="B148" s="25">
        <v>234</v>
      </c>
      <c r="C148" s="17" t="str">
        <f t="shared" si="20"/>
        <v>1470.26536188002i</v>
      </c>
      <c r="D148" s="18" t="str">
        <f>COMPLEX(Ported!C$19,2*PI()*B148*Ported!C$20)</f>
        <v>6</v>
      </c>
      <c r="E148" s="19" t="str">
        <f>IMSUB(COMPLEX(1,0),IMDIV(COMPLEX(Ported!C$41,0),IMSUM(COMPLEX(Ported!C$41,0),IMPRODUCT(C148,COMPLEX(Ported!C$42,0)))))</f>
        <v>0.999664672586313+0.0183088767872952i</v>
      </c>
      <c r="F148" s="19" t="str">
        <f>IMDIV(IMPRODUCT(C148,COMPLEX((Ported!C$42*Ported!C$14/Ported!C$24),0)),IMSUM(COMPLEX(Ported!C$41,0),IMPRODUCT(C148,COMPLEX(Ported!C$42,0))))</f>
        <v>5.80116286682213+0.106248404154252i</v>
      </c>
      <c r="G148" s="30" t="str">
        <f>IMPRODUCT(F148,IMSUB(COMPLEX(1,0),IMDIV(IMPRODUCT(COMPLEX(Ported!C$41,0),E148),IMSUM(COMPLEX(0-(2*PI()*B148)^2*Ported!C$38,0),IMPRODUCT(C148,COMPLEX(0,0)),IMPRODUCT(COMPLEX(Ported!C$41,0),E148)))))</f>
        <v>5.89804077902554+0.109827917485675i</v>
      </c>
      <c r="H148" s="32" t="str">
        <f>IMDIV(COMPLEX(Ported!C$18,0),IMPRODUCT(D148,IMSUM(COMPLEX(Ported!C$16-(2*PI()*B148)^2*Ported!C$15,0),IMPRODUCT(C148,IMSUM(COMPLEX(Ported!C$17,0),IMDIV(COMPLEX(Ported!C$18^2,0),D148))),IMPRODUCT(COMPLEX(Ported!C$14*Ported!C$41/Ported!C$24,0),G148))))</f>
        <v>-0.0000115330290443472-3.78883454585084E-06i</v>
      </c>
      <c r="I148" s="27">
        <f t="shared" si="21"/>
        <v>-161.81359662381934</v>
      </c>
      <c r="J148" s="20" t="str">
        <f>IMPRODUCT(IMDIV(IMPRODUCT(COMPLEX(-Ported!C$41,0),F148),IMSUM(IMPRODUCT(COMPLEX(Ported!C$41,0),E148),COMPLEX(Calculations!C$3-(2*PI()*B148)^2*Ported!C$38,0),IMPRODUCT(COMPLEX(Calculations!C$4,0),C148))),H148)</f>
        <v>-1.11121229127839E-06-3.88122110760216E-07i</v>
      </c>
      <c r="K148" s="27">
        <f t="shared" si="22"/>
        <v>-160.74681034442983</v>
      </c>
      <c r="L148" s="40" t="str">
        <f>IMSUM(IMPRODUCT(COMPLEX(-(Ported!C$14/Ported!C$24),0),H148),IMDIV(IMPRODUCT(COMPLEX(-Ported!C$41,0),J148),IMSUM(COMPLEX(Ported!C$41,0),IMPRODUCT(COMPLEX(Ported!C$42,0),C148))),IMDIV(IMPRODUCT(COMPLEX(Ported!C$42*Ported!C$14/Ported!C$24,0),C148,H148),IMSUM(COMPLEX(Ported!C$41,0),IMPRODUCT(COMPLEX(Ported!C$42,0),C148))))</f>
        <v>4.32478923418419E-07-1.23820798171025E-06i</v>
      </c>
      <c r="M148" s="28">
        <f t="shared" si="23"/>
        <v>-70.746810344434905</v>
      </c>
      <c r="N148" s="39" t="str">
        <f>IMPRODUCT(COMPLEX((Ported!C$10*Ported!C$14)/(2*PI()),0),C148,C148,H148)</f>
        <v>0.107011259138283+0.035155374521219i</v>
      </c>
      <c r="O148" s="28">
        <f t="shared" si="24"/>
        <v>18.186403376180625</v>
      </c>
      <c r="P148" s="26" t="str">
        <f>IMPRODUCT(COMPLEX((Ported!C$10*Ported!C$24)/(2*PI()),0),C148,C148,J148)</f>
        <v>0.00177673399237448+0.00062057426181497i</v>
      </c>
      <c r="Q148" s="23">
        <f t="shared" si="25"/>
        <v>19.25318965557015</v>
      </c>
      <c r="R148" s="41" t="str">
        <f>IMPRODUCT(COMPLEX((Ported!C$10*Ported!C$24)/(2*PI()),0),C148,C148,L148)</f>
        <v>-0.000691497034593652+0.00197978930578877i</v>
      </c>
      <c r="S148" s="33">
        <f t="shared" si="26"/>
        <v>109.25318965556514</v>
      </c>
      <c r="T148" s="38">
        <f>IMABS(IMDIV(D148,IMSUB(COMPLEX(1,0),IMPRODUCT(COMPLEX(Ported!C$18,0),IMPRODUCT(C148,H148)))))</f>
        <v>6.3091956977314441</v>
      </c>
      <c r="U148" s="21">
        <f>20*LOG10(Ported!C$29*50000*IMABS(N148))</f>
        <v>104.84032945778026</v>
      </c>
      <c r="V148" s="22">
        <f>20*LOG10(Ported!C$29*50000*IMABS(P148))</f>
        <v>69.298992128143666</v>
      </c>
      <c r="W148" s="22">
        <f>20*LOG10(Ported!C$29*50000*IMABS(R148))</f>
        <v>70.238923381668158</v>
      </c>
      <c r="X148" s="28">
        <f>1000*Ported!C$29*IMABS(H148)</f>
        <v>0.37632266890741362</v>
      </c>
      <c r="Y148" s="28">
        <f>1000*Ported!C$29*IMABS(J148)</f>
        <v>3.6488350188961939E-2</v>
      </c>
      <c r="Z148" s="28">
        <f>Ported!C$29*IMABS(IMPRODUCT(C148,J148))</f>
        <v>5.3647557394979062E-2</v>
      </c>
      <c r="AA148" s="28">
        <f>1000*Ported!C$29*IMABS(L148)</f>
        <v>4.0658447353414916E-2</v>
      </c>
      <c r="AB148" s="41" t="str">
        <f t="shared" si="27"/>
        <v>0.108096496096064+0.0377557380888227i</v>
      </c>
      <c r="AC148" s="28">
        <f>20*LOG10(Ported!C$29*50000*IMABS(AB148))</f>
        <v>104.98277623576293</v>
      </c>
      <c r="AD148" s="28">
        <f t="shared" si="28"/>
        <v>177475.66485317034</v>
      </c>
      <c r="AE148" s="23">
        <f t="shared" si="29"/>
        <v>19.253189655570008</v>
      </c>
      <c r="AG148" s="64"/>
      <c r="AH148" s="1"/>
      <c r="AI148" s="1"/>
      <c r="AJ148" s="1"/>
      <c r="AK148" s="2"/>
      <c r="AL148" s="2"/>
      <c r="AM148" s="2"/>
      <c r="AN148" s="2"/>
      <c r="AO148" s="2"/>
      <c r="AP148" s="2"/>
      <c r="AQ148" s="3"/>
      <c r="AR148" s="3"/>
      <c r="AS148" s="2"/>
      <c r="AT148" s="8"/>
      <c r="AU148" s="8"/>
    </row>
    <row r="149" spans="2:47" x14ac:dyDescent="0.25">
      <c r="B149" s="25">
        <v>240</v>
      </c>
      <c r="C149" s="17" t="str">
        <f t="shared" si="20"/>
        <v>1507.9644737231i</v>
      </c>
      <c r="D149" s="18" t="str">
        <f>COMPLEX(Ported!C$19,2*PI()*B149*Ported!C$20)</f>
        <v>6</v>
      </c>
      <c r="E149" s="19" t="str">
        <f>IMSUB(COMPLEX(1,0),IMDIV(COMPLEX(Ported!C$41,0),IMSUM(COMPLEX(Ported!C$41,0),IMPRODUCT(C149,COMPLEX(Ported!C$42,0)))))</f>
        <v>0.999681224099458+0.0178514504303475i</v>
      </c>
      <c r="F149" s="19" t="str">
        <f>IMDIV(IMPRODUCT(C149,COMPLEX((Ported!C$42*Ported!C$14/Ported!C$24),0)),IMSUM(COMPLEX(Ported!C$41,0),IMPRODUCT(C149,COMPLEX(Ported!C$42,0))))</f>
        <v>5.80125891705385+0.103593909233105i</v>
      </c>
      <c r="G149" s="30" t="str">
        <f>IMPRODUCT(F149,IMSUB(COMPLEX(1,0),IMDIV(IMPRODUCT(COMPLEX(Ported!C$41,0),E149),IMSUM(COMPLEX(0-(2*PI()*B149)^2*Ported!C$38,0),IMPRODUCT(C149,COMPLEX(0,0)),IMPRODUCT(COMPLEX(Ported!C$41,0),E149)))))</f>
        <v>5.89328227935063+0.10690761504491i</v>
      </c>
      <c r="H149" s="32" t="str">
        <f>IMDIV(COMPLEX(Ported!C$18,0),IMPRODUCT(D149,IMSUM(COMPLEX(Ported!C$16-(2*PI()*B149)^2*Ported!C$15,0),IMPRODUCT(C149,IMSUM(COMPLEX(Ported!C$17,0),IMDIV(COMPLEX(Ported!C$18^2,0),D149))),IMPRODUCT(COMPLEX(Ported!C$14*Ported!C$41/Ported!C$24,0),G149))))</f>
        <v>-0.0000110009059016639-0.0000035172884849775i</v>
      </c>
      <c r="I149" s="27">
        <f t="shared" si="21"/>
        <v>-162.26950960027298</v>
      </c>
      <c r="J149" s="20" t="str">
        <f>IMPRODUCT(IMDIV(IMPRODUCT(COMPLEX(-Ported!C$41,0),F149),IMSUM(IMPRODUCT(COMPLEX(Ported!C$41,0),E149),COMPLEX(Calculations!C$3-(2*PI()*B149)^2*Ported!C$38,0),IMPRODUCT(COMPLEX(Calculations!C$4,0),C149))),H149)</f>
        <v>-1.00711592005822E-06-3.42257101768162E-07i</v>
      </c>
      <c r="K149" s="27">
        <f t="shared" si="22"/>
        <v>-161.23024437088878</v>
      </c>
      <c r="L149" s="40" t="str">
        <f>IMSUM(IMPRODUCT(COMPLEX(-(Ported!C$14/Ported!C$24),0),H149),IMDIV(IMPRODUCT(COMPLEX(-Ported!C$41,0),J149),IMSUM(COMPLEX(Ported!C$41,0),IMPRODUCT(COMPLEX(Ported!C$42,0),C149))),IMDIV(IMPRODUCT(COMPLEX(Ported!C$42*Ported!C$14/Ported!C$24,0),C149,H149),IMSUM(COMPLEX(Ported!C$41,0),IMPRODUCT(COMPLEX(Ported!C$42,0),C149))))</f>
        <v>3.91150973449308E-07-0.0000011509896229237i</v>
      </c>
      <c r="M149" s="28">
        <f t="shared" si="23"/>
        <v>-71.230244370889977</v>
      </c>
      <c r="N149" s="39" t="str">
        <f>IMPRODUCT(COMPLEX((Ported!C$10*Ported!C$14)/(2*PI()),0),C149,C149,H149)</f>
        <v>0.107375526640918+0.0343308730025018i</v>
      </c>
      <c r="O149" s="28">
        <f t="shared" si="24"/>
        <v>17.730490399727035</v>
      </c>
      <c r="P149" s="26" t="str">
        <f>IMPRODUCT(COMPLEX((Ported!C$10*Ported!C$24)/(2*PI()),0),C149,C149,J149)</f>
        <v>0.00169393056543409+0.000575663391249402i</v>
      </c>
      <c r="Q149" s="23">
        <f t="shared" si="25"/>
        <v>18.769755629111259</v>
      </c>
      <c r="R149" s="41" t="str">
        <f>IMPRODUCT(COMPLEX((Ported!C$10*Ported!C$24)/(2*PI()),0),C149,C149,L149)</f>
        <v>-0.000657901018570712+0.00193592064621043i</v>
      </c>
      <c r="S149" s="33">
        <f t="shared" si="26"/>
        <v>108.76975562911001</v>
      </c>
      <c r="T149" s="38">
        <f>IMABS(IMDIV(D149,IMSUB(COMPLEX(1,0),IMPRODUCT(COMPLEX(Ported!C$18,0),IMPRODUCT(C149,H149)))))</f>
        <v>6.2932794535683518</v>
      </c>
      <c r="U149" s="21">
        <f>20*LOG10(Ported!C$29*50000*IMABS(N149))</f>
        <v>104.84744449290503</v>
      </c>
      <c r="V149" s="22">
        <f>20*LOG10(Ported!C$29*50000*IMABS(P149))</f>
        <v>68.859204558359735</v>
      </c>
      <c r="W149" s="22">
        <f>20*LOG10(Ported!C$29*50000*IMABS(R149))</f>
        <v>70.019043497913586</v>
      </c>
      <c r="X149" s="28">
        <f>1000*Ported!C$29*IMABS(H149)</f>
        <v>0.35803490086164785</v>
      </c>
      <c r="Y149" s="28">
        <f>1000*Ported!C$29*IMABS(J149)</f>
        <v>3.2974185760072744E-2</v>
      </c>
      <c r="Z149" s="28">
        <f>Ported!C$29*IMABS(IMPRODUCT(C149,J149))</f>
        <v>4.972390067613585E-2</v>
      </c>
      <c r="AA149" s="28">
        <f>1000*Ported!C$29*IMABS(L149)</f>
        <v>3.768478372579781E-2</v>
      </c>
      <c r="AB149" s="41" t="str">
        <f t="shared" si="27"/>
        <v>0.108411556187781+0.0368424570399616i</v>
      </c>
      <c r="AC149" s="28">
        <f>20*LOG10(Ported!C$29*50000*IMABS(AB149))</f>
        <v>104.98280403803741</v>
      </c>
      <c r="AD149" s="28">
        <f t="shared" si="28"/>
        <v>177476.23292797359</v>
      </c>
      <c r="AE149" s="23">
        <f t="shared" si="29"/>
        <v>18.769755629111319</v>
      </c>
      <c r="AG149" s="64"/>
      <c r="AH149" s="1"/>
      <c r="AI149" s="1"/>
      <c r="AJ149" s="1"/>
      <c r="AK149" s="2"/>
      <c r="AL149" s="2"/>
      <c r="AM149" s="2"/>
      <c r="AN149" s="2"/>
      <c r="AO149" s="2"/>
      <c r="AP149" s="2"/>
      <c r="AQ149" s="3"/>
      <c r="AR149" s="3"/>
      <c r="AS149" s="2"/>
      <c r="AT149" s="8"/>
      <c r="AU149" s="8"/>
    </row>
    <row r="150" spans="2:47" x14ac:dyDescent="0.25">
      <c r="B150" s="25">
        <v>245</v>
      </c>
      <c r="C150" s="17" t="str">
        <f t="shared" si="20"/>
        <v>1539.380400259i</v>
      </c>
      <c r="D150" s="18" t="str">
        <f>COMPLEX(Ported!C$19,2*PI()*B150*Ported!C$20)</f>
        <v>6</v>
      </c>
      <c r="E150" s="19" t="str">
        <f>IMSUB(COMPLEX(1,0),IMDIV(COMPLEX(Ported!C$41,0),IMSUM(COMPLEX(Ported!C$41,0),IMPRODUCT(C150,COMPLEX(Ported!C$42,0)))))</f>
        <v>0.999694098653184+0.0174873603262948i</v>
      </c>
      <c r="F150" s="19" t="str">
        <f>IMDIV(IMPRODUCT(C150,COMPLEX((Ported!C$42*Ported!C$14/Ported!C$24),0)),IMSUM(COMPLEX(Ported!C$41,0),IMPRODUCT(C150,COMPLEX(Ported!C$42,0))))</f>
        <v>5.80133362949+0.101481054743266i</v>
      </c>
      <c r="G150" s="30" t="str">
        <f>IMPRODUCT(F150,IMSUB(COMPLEX(1,0),IMDIV(IMPRODUCT(COMPLEX(Ported!C$41,0),E150),IMSUM(COMPLEX(0-(2*PI()*B150)^2*Ported!C$38,0),IMPRODUCT(C150,COMPLEX(0,0)),IMPRODUCT(COMPLEX(Ported!C$41,0),E150)))))</f>
        <v>5.8895861901045+0.104593073989172i</v>
      </c>
      <c r="H150" s="32" t="str">
        <f>IMDIV(COMPLEX(Ported!C$18,0),IMPRODUCT(D150,IMSUM(COMPLEX(Ported!C$16-(2*PI()*B150)^2*Ported!C$15,0),IMPRODUCT(C150,IMSUM(COMPLEX(Ported!C$17,0),IMDIV(COMPLEX(Ported!C$18^2,0),D150))),IMPRODUCT(COMPLEX(Ported!C$14*Ported!C$41/Ported!C$24,0),G150))))</f>
        <v>-0.0000105843683120259-3.31038617825286E-06i</v>
      </c>
      <c r="I150" s="27">
        <f t="shared" si="21"/>
        <v>-162.63231041091248</v>
      </c>
      <c r="J150" s="20" t="str">
        <f>IMPRODUCT(IMDIV(IMPRODUCT(COMPLEX(-Ported!C$41,0),F150),IMSUM(IMPRODUCT(COMPLEX(Ported!C$41,0),E150),COMPLEX(Calculations!C$3-(2*PI()*B150)^2*Ported!C$38,0),IMPRODUCT(COMPLEX(Calculations!C$4,0),C150))),H150)</f>
        <v>-9.29482305331306E-07-3.0892912459151E-07i</v>
      </c>
      <c r="K150" s="27">
        <f t="shared" si="22"/>
        <v>-161.61490245870905</v>
      </c>
      <c r="L150" s="40" t="str">
        <f>IMSUM(IMPRODUCT(COMPLEX(-(Ported!C$14/Ported!C$24),0),H150),IMDIV(IMPRODUCT(COMPLEX(-Ported!C$41,0),J150),IMSUM(COMPLEX(Ported!C$41,0),IMPRODUCT(COMPLEX(Ported!C$42,0),C150))),IMDIV(IMPRODUCT(COMPLEX(Ported!C$42*Ported!C$14/Ported!C$24,0),C150,H150),IMSUM(COMPLEX(Ported!C$41,0),IMPRODUCT(COMPLEX(Ported!C$42,0),C150))))</f>
        <v>3.6041731202336E-07-1.08439602288666E-06i</v>
      </c>
      <c r="M150" s="28">
        <f t="shared" si="23"/>
        <v>-71.614902458714454</v>
      </c>
      <c r="N150" s="39" t="str">
        <f>IMPRODUCT(COMPLEX((Ported!C$10*Ported!C$14)/(2*PI()),0),C150,C150,H150)</f>
        <v>0.107659283772783+0.0336717123266669i</v>
      </c>
      <c r="O150" s="28">
        <f t="shared" si="24"/>
        <v>17.367689589087608</v>
      </c>
      <c r="P150" s="26" t="str">
        <f>IMPRODUCT(COMPLEX((Ported!C$10*Ported!C$24)/(2*PI()),0),C150,C150,J150)</f>
        <v>0.00162917206653613+0.000541482820530458i</v>
      </c>
      <c r="Q150" s="23">
        <f t="shared" si="25"/>
        <v>18.385097541290953</v>
      </c>
      <c r="R150" s="41" t="str">
        <f>IMPRODUCT(COMPLEX((Ported!C$10*Ported!C$24)/(2*PI()),0),C150,C150,L150)</f>
        <v>-0.000631729957285414+0.00190070074429239i</v>
      </c>
      <c r="S150" s="33">
        <f t="shared" si="26"/>
        <v>108.38509754128553</v>
      </c>
      <c r="T150" s="38">
        <f>IMABS(IMDIV(D150,IMSUB(COMPLEX(1,0),IMPRODUCT(COMPLEX(Ported!C$18,0),IMPRODUCT(C150,H150)))))</f>
        <v>6.2809479009722029</v>
      </c>
      <c r="U150" s="21">
        <f>20*LOG10(Ported!C$29*50000*IMABS(N150))</f>
        <v>104.85297487141176</v>
      </c>
      <c r="V150" s="22">
        <f>20*LOG10(Ported!C$29*50000*IMABS(P150))</f>
        <v>68.501032516530344</v>
      </c>
      <c r="W150" s="22">
        <f>20*LOG10(Ported!C$29*50000*IMABS(R150))</f>
        <v>69.839968309143416</v>
      </c>
      <c r="X150" s="28">
        <f>1000*Ported!C$29*IMABS(H150)</f>
        <v>0.34378917428337957</v>
      </c>
      <c r="Y150" s="28">
        <f>1000*Ported!C$29*IMABS(J150)</f>
        <v>3.0363776973674168E-2</v>
      </c>
      <c r="Z150" s="28">
        <f>Ported!C$29*IMABS(IMPRODUCT(C150,J150))</f>
        <v>4.6741403151109445E-2</v>
      </c>
      <c r="AA150" s="28">
        <f>1000*Ported!C$29*IMABS(L150)</f>
        <v>3.5424406469289876E-2</v>
      </c>
      <c r="AB150" s="41" t="str">
        <f t="shared" si="27"/>
        <v>0.108656725882034+0.0361138958914898i</v>
      </c>
      <c r="AC150" s="28">
        <f>20*LOG10(Ported!C$29*50000*IMABS(AB150))</f>
        <v>104.9828257023251</v>
      </c>
      <c r="AD150" s="28">
        <f t="shared" si="28"/>
        <v>177476.67558855543</v>
      </c>
      <c r="AE150" s="23">
        <f t="shared" si="29"/>
        <v>18.385097541291103</v>
      </c>
      <c r="AG150" s="64"/>
      <c r="AH150" s="1"/>
      <c r="AI150" s="1"/>
      <c r="AJ150" s="1"/>
      <c r="AK150" s="2"/>
      <c r="AL150" s="2"/>
      <c r="AM150" s="2"/>
      <c r="AN150" s="2"/>
      <c r="AO150" s="2"/>
      <c r="AP150" s="2"/>
      <c r="AQ150" s="3"/>
      <c r="AR150" s="3"/>
      <c r="AS150" s="2"/>
      <c r="AT150" s="8"/>
      <c r="AU150" s="8"/>
    </row>
    <row r="151" spans="2:47" x14ac:dyDescent="0.25">
      <c r="B151" s="25">
        <v>251</v>
      </c>
      <c r="C151" s="17" t="str">
        <f t="shared" si="20"/>
        <v>1577.07951210208i</v>
      </c>
      <c r="D151" s="18" t="str">
        <f>COMPLEX(Ported!C$19,2*PI()*B151*Ported!C$20)</f>
        <v>6</v>
      </c>
      <c r="E151" s="19" t="str">
        <f>IMSUB(COMPLEX(1,0),IMDIV(COMPLEX(Ported!C$41,0),IMSUM(COMPLEX(Ported!C$41,0),IMPRODUCT(C151,COMPLEX(Ported!C$42,0)))))</f>
        <v>0.99970854440925+0.0170695824315751i</v>
      </c>
      <c r="F151" s="19" t="str">
        <f>IMDIV(IMPRODUCT(C151,COMPLEX((Ported!C$42*Ported!C$14/Ported!C$24),0)),IMSUM(COMPLEX(Ported!C$41,0),IMPRODUCT(C151,COMPLEX(Ported!C$42,0))))</f>
        <v>5.80141745978425+0.0990566441625085i</v>
      </c>
      <c r="G151" s="30" t="str">
        <f>IMPRODUCT(F151,IMSUB(COMPLEX(1,0),IMDIV(IMPRODUCT(COMPLEX(Ported!C$41,0),E151),IMSUM(COMPLEX(0-(2*PI()*B151)^2*Ported!C$38,0),IMPRODUCT(C151,COMPLEX(0,0)),IMPRODUCT(COMPLEX(Ported!C$41,0),E151)))))</f>
        <v>5.88544454015017+0.101947742703317i</v>
      </c>
      <c r="H151" s="32" t="str">
        <f>IMDIV(COMPLEX(Ported!C$18,0),IMPRODUCT(D151,IMSUM(COMPLEX(Ported!C$16-(2*PI()*B151)^2*Ported!C$15,0),IMPRODUCT(C151,IMSUM(COMPLEX(Ported!C$17,0),IMDIV(COMPLEX(Ported!C$18^2,0),D151))),IMPRODUCT(COMPLEX(Ported!C$14*Ported!C$41/Ported!C$24,0),G151))))</f>
        <v>-0.0000101142542467688-0.0000030828748520763i</v>
      </c>
      <c r="I151" s="27">
        <f t="shared" si="21"/>
        <v>-163.04851860801813</v>
      </c>
      <c r="J151" s="20" t="str">
        <f>IMPRODUCT(IMDIV(IMPRODUCT(COMPLEX(-Ported!C$41,0),F151),IMSUM(IMPRODUCT(COMPLEX(Ported!C$41,0),E151),COMPLEX(Calculations!C$3-(2*PI()*B151)^2*Ported!C$38,0),IMPRODUCT(COMPLEX(Calculations!C$4,0),C151))),H151)</f>
        <v>-8.45880720495185E-07-2.73927285600766E-07i</v>
      </c>
      <c r="K151" s="27">
        <f t="shared" si="22"/>
        <v>-162.05613965786461</v>
      </c>
      <c r="L151" s="40" t="str">
        <f>IMSUM(IMPRODUCT(COMPLEX(-(Ported!C$14/Ported!C$24),0),H151),IMDIV(IMPRODUCT(COMPLEX(-Ported!C$41,0),J151),IMSUM(COMPLEX(Ported!C$41,0),IMPRODUCT(COMPLEX(Ported!C$42,0),C151))),IMDIV(IMPRODUCT(COMPLEX(Ported!C$42*Ported!C$14/Ported!C$24,0),C151,H151),IMSUM(COMPLEX(Ported!C$41,0),IMPRODUCT(COMPLEX(Ported!C$42,0),C151))))</f>
        <v>3.2740832707512E-07-1.01102886116332E-06i</v>
      </c>
      <c r="M151" s="28">
        <f t="shared" si="23"/>
        <v>-72.056139657869238</v>
      </c>
      <c r="N151" s="39" t="str">
        <f>IMPRODUCT(COMPLEX((Ported!C$10*Ported!C$14)/(2*PI()),0),C151,C151,H151)</f>
        <v>0.107978100444477+0.0329122604903464i</v>
      </c>
      <c r="O151" s="28">
        <f t="shared" si="24"/>
        <v>16.95148139198189</v>
      </c>
      <c r="P151" s="26" t="str">
        <f>IMPRODUCT(COMPLEX((Ported!C$10*Ported!C$24)/(2*PI()),0),C151,C151,J151)</f>
        <v>0.00155614560122935+0.000503937174847518i</v>
      </c>
      <c r="Q151" s="23">
        <f t="shared" si="25"/>
        <v>17.943860342135334</v>
      </c>
      <c r="R151" s="41" t="str">
        <f>IMPRODUCT(COMPLEX((Ported!C$10*Ported!C$24)/(2*PI()),0),C151,C151,L151)</f>
        <v>-0.000602324908984265+0.00185996450432655i</v>
      </c>
      <c r="S151" s="33">
        <f t="shared" si="26"/>
        <v>107.94386034213079</v>
      </c>
      <c r="T151" s="38">
        <f>IMABS(IMDIV(D151,IMSUB(COMPLEX(1,0),IMPRODUCT(COMPLEX(Ported!C$18,0),IMPRODUCT(C151,H151)))))</f>
        <v>6.2671620240025421</v>
      </c>
      <c r="U151" s="21">
        <f>20*LOG10(Ported!C$29*50000*IMABS(N151))</f>
        <v>104.85917597786053</v>
      </c>
      <c r="V151" s="22">
        <f>20*LOG10(Ported!C$29*50000*IMABS(P151))</f>
        <v>68.08075138054781</v>
      </c>
      <c r="W151" s="22">
        <f>20*LOG10(Ported!C$29*50000*IMABS(R151))</f>
        <v>69.629839915490152</v>
      </c>
      <c r="X151" s="28">
        <f>1000*Ported!C$29*IMABS(H151)</f>
        <v>0.3277834167942198</v>
      </c>
      <c r="Y151" s="28">
        <f>1000*Ported!C$29*IMABS(J151)</f>
        <v>2.7562998519919356E-2</v>
      </c>
      <c r="Z151" s="28">
        <f>Ported!C$29*IMABS(IMPRODUCT(C151,J151))</f>
        <v>4.3469040257864702E-2</v>
      </c>
      <c r="AA151" s="28">
        <f>1000*Ported!C$29*IMABS(L151)</f>
        <v>3.2944345849998884E-2</v>
      </c>
      <c r="AB151" s="41" t="str">
        <f t="shared" si="27"/>
        <v>0.108931921136722+0.0352761621695205i</v>
      </c>
      <c r="AC151" s="28">
        <f>20*LOG10(Ported!C$29*50000*IMABS(AB151))</f>
        <v>104.98285005100279</v>
      </c>
      <c r="AD151" s="28">
        <f t="shared" si="28"/>
        <v>177477.17309987632</v>
      </c>
      <c r="AE151" s="23">
        <f t="shared" si="29"/>
        <v>17.943860342135398</v>
      </c>
      <c r="AG151" s="64"/>
      <c r="AH151" s="1"/>
      <c r="AI151" s="1"/>
      <c r="AJ151" s="1"/>
      <c r="AK151" s="2"/>
      <c r="AL151" s="2"/>
      <c r="AM151" s="2"/>
      <c r="AN151" s="2"/>
      <c r="AO151" s="2"/>
      <c r="AP151" s="2"/>
      <c r="AQ151" s="3"/>
      <c r="AR151" s="3"/>
      <c r="AS151" s="2"/>
      <c r="AT151" s="8"/>
      <c r="AU151" s="8"/>
    </row>
    <row r="152" spans="2:47" x14ac:dyDescent="0.25">
      <c r="B152" s="25">
        <v>257</v>
      </c>
      <c r="C152" s="17" t="str">
        <f t="shared" si="20"/>
        <v>1614.77862394515i</v>
      </c>
      <c r="D152" s="18" t="str">
        <f>COMPLEX(Ported!C$19,2*PI()*B152*Ported!C$20)</f>
        <v>6</v>
      </c>
      <c r="E152" s="19" t="str">
        <f>IMSUB(COMPLEX(1,0),IMDIV(COMPLEX(Ported!C$41,0),IMSUM(COMPLEX(Ported!C$41,0),IMPRODUCT(C152,COMPLEX(Ported!C$42,0)))))</f>
        <v>0.999721990633555+0.0166712950077859i</v>
      </c>
      <c r="F152" s="19" t="str">
        <f>IMDIV(IMPRODUCT(C152,COMPLEX((Ported!C$42*Ported!C$14/Ported!C$24),0)),IMSUM(COMPLEX(Ported!C$41,0),IMPRODUCT(C152,COMPLEX(Ported!C$42,0))))</f>
        <v>5.80149548968696+0.096745338905286i</v>
      </c>
      <c r="G152" s="30" t="str">
        <f>IMPRODUCT(F152,IMSUB(COMPLEX(1,0),IMDIV(IMPRODUCT(COMPLEX(Ported!C$41,0),E152),IMSUM(COMPLEX(0-(2*PI()*B152)^2*Ported!C$38,0),IMPRODUCT(C152,COMPLEX(0,0)),IMPRODUCT(COMPLEX(Ported!C$41,0),E152)))))</f>
        <v>5.88159468325614+0.0994360071482404i</v>
      </c>
      <c r="H152" s="32" t="str">
        <f>IMDIV(COMPLEX(Ported!C$18,0),IMPRODUCT(D152,IMSUM(COMPLEX(Ported!C$16-(2*PI()*B152)^2*Ported!C$15,0),IMPRODUCT(C152,IMSUM(COMPLEX(Ported!C$17,0),IMDIV(COMPLEX(Ported!C$18^2,0),D152))),IMPRODUCT(COMPLEX(Ported!C$14*Ported!C$41/Ported!C$24,0),G152))))</f>
        <v>-9.67405696721308E-06-2.87564957924184E-06i</v>
      </c>
      <c r="I152" s="27">
        <f t="shared" si="21"/>
        <v>-163.44522182586667</v>
      </c>
      <c r="J152" s="20" t="str">
        <f>IMPRODUCT(IMDIV(IMPRODUCT(COMPLEX(-Ported!C$41,0),F152),IMSUM(IMPRODUCT(COMPLEX(Ported!C$41,0),E152),COMPLEX(Calculations!C$3-(2*PI()*B152)^2*Ported!C$38,0),IMPRODUCT(COMPLEX(Calculations!C$4,0),C152))),H152)</f>
        <v>-7.71421899204897E-07-2.43574003944478E-07i</v>
      </c>
      <c r="K152" s="27">
        <f t="shared" si="22"/>
        <v>-162.47665443248039</v>
      </c>
      <c r="L152" s="40" t="str">
        <f>IMSUM(IMPRODUCT(COMPLEX(-(Ported!C$14/Ported!C$24),0),H152),IMDIV(IMPRODUCT(COMPLEX(-Ported!C$41,0),J152),IMSUM(COMPLEX(Ported!C$41,0),IMPRODUCT(COMPLEX(Ported!C$42,0),C152))),IMDIV(IMPRODUCT(COMPLEX(Ported!C$42*Ported!C$14/Ported!C$24,0),C152,H152),IMSUM(COMPLEX(Ported!C$41,0),IMPRODUCT(COMPLEX(Ported!C$42,0),C152))))</f>
        <v>2.98088185779645E-07-9.4407346712219E-07i</v>
      </c>
      <c r="M152" s="28">
        <f t="shared" si="23"/>
        <v>-72.476654432481922</v>
      </c>
      <c r="N152" s="39" t="str">
        <f>IMPRODUCT(COMPLEX((Ported!C$10*Ported!C$14)/(2*PI()),0),C152,C152,H152)</f>
        <v>0.108275266352343+0.0321852274783649i</v>
      </c>
      <c r="O152" s="28">
        <f t="shared" si="24"/>
        <v>16.554778174133361</v>
      </c>
      <c r="P152" s="26" t="str">
        <f>IMPRODUCT(COMPLEX((Ported!C$10*Ported!C$24)/(2*PI()),0),C152,C152,J152)</f>
        <v>0.00148782506238426+0.000469776017491075i</v>
      </c>
      <c r="Q152" s="23">
        <f t="shared" si="25"/>
        <v>17.523345567519652</v>
      </c>
      <c r="R152" s="41" t="str">
        <f>IMPRODUCT(COMPLEX((Ported!C$10*Ported!C$24)/(2*PI()),0),C152,C152,L152)</f>
        <v>-0.000574916364262837+0.00182081448110837i</v>
      </c>
      <c r="S152" s="33">
        <f t="shared" si="26"/>
        <v>107.52334556751809</v>
      </c>
      <c r="T152" s="38">
        <f>IMABS(IMDIV(D152,IMSUB(COMPLEX(1,0),IMPRODUCT(COMPLEX(Ported!C$18,0),IMPRODUCT(C152,H152)))))</f>
        <v>6.2543778623682043</v>
      </c>
      <c r="U152" s="21">
        <f>20*LOG10(Ported!C$29*50000*IMABS(N152))</f>
        <v>104.86494403530658</v>
      </c>
      <c r="V152" s="22">
        <f>20*LOG10(Ported!C$29*50000*IMABS(P152))</f>
        <v>67.670398009412381</v>
      </c>
      <c r="W152" s="22">
        <f>20*LOG10(Ported!C$29*50000*IMABS(R152))</f>
        <v>69.424674581359881</v>
      </c>
      <c r="X152" s="28">
        <f>1000*Ported!C$29*IMABS(H152)</f>
        <v>0.31286470861681742</v>
      </c>
      <c r="Y152" s="28">
        <f>1000*Ported!C$29*IMABS(J152)</f>
        <v>2.5077832050111271E-2</v>
      </c>
      <c r="Z152" s="28">
        <f>Ported!C$29*IMABS(IMPRODUCT(C152,J152))</f>
        <v>4.0495147129406314E-2</v>
      </c>
      <c r="AA152" s="28">
        <f>1000*Ported!C$29*IMABS(L152)</f>
        <v>3.0690489699421838E-2</v>
      </c>
      <c r="AB152" s="41" t="str">
        <f t="shared" si="27"/>
        <v>0.109188175050464+0.0344758179769643i</v>
      </c>
      <c r="AC152" s="28">
        <f>20*LOG10(Ported!C$29*50000*IMABS(AB152))</f>
        <v>104.98287275387764</v>
      </c>
      <c r="AD152" s="28">
        <f t="shared" si="28"/>
        <v>177477.63698411663</v>
      </c>
      <c r="AE152" s="23">
        <f t="shared" si="29"/>
        <v>17.523345567519641</v>
      </c>
      <c r="AG152" s="64"/>
      <c r="AH152" s="1"/>
      <c r="AI152" s="1"/>
      <c r="AJ152" s="1"/>
      <c r="AK152" s="2"/>
      <c r="AL152" s="2"/>
      <c r="AM152" s="2"/>
      <c r="AN152" s="2"/>
      <c r="AO152" s="2"/>
      <c r="AP152" s="2"/>
      <c r="AQ152" s="3"/>
      <c r="AR152" s="3"/>
      <c r="AS152" s="2"/>
      <c r="AT152" s="8"/>
      <c r="AU152" s="8"/>
    </row>
    <row r="153" spans="2:47" x14ac:dyDescent="0.25">
      <c r="B153" s="25">
        <v>263</v>
      </c>
      <c r="C153" s="17" t="str">
        <f t="shared" si="20"/>
        <v>1652.47773578823i</v>
      </c>
      <c r="D153" s="18" t="str">
        <f>COMPLEX(Ported!C$19,2*PI()*B153*Ported!C$20)</f>
        <v>6</v>
      </c>
      <c r="E153" s="19" t="str">
        <f>IMSUB(COMPLEX(1,0),IMDIV(COMPLEX(Ported!C$41,0),IMSUM(COMPLEX(Ported!C$41,0),IMPRODUCT(C153,COMPLEX(Ported!C$42,0)))))</f>
        <v>0.999734527448534+0.0162911655749354i</v>
      </c>
      <c r="F153" s="19" t="str">
        <f>IMDIV(IMPRODUCT(C153,COMPLEX((Ported!C$42*Ported!C$14/Ported!C$24),0)),IMSUM(COMPLEX(Ported!C$41,0),IMPRODUCT(C153,COMPLEX(Ported!C$42,0))))</f>
        <v>5.80156824218839+0.0945394064452214i</v>
      </c>
      <c r="G153" s="30" t="str">
        <f>IMPRODUCT(F153,IMSUB(COMPLEX(1,0),IMDIV(IMPRODUCT(COMPLEX(Ported!C$41,0),E153),IMSUM(COMPLEX(0-(2*PI()*B153)^2*Ported!C$38,0),IMPRODUCT(C153,COMPLEX(0,0)),IMPRODUCT(COMPLEX(Ported!C$41,0),E153)))))</f>
        <v>5.87800973236781+0.0970478062378914i</v>
      </c>
      <c r="H153" s="32" t="str">
        <f>IMDIV(COMPLEX(Ported!C$18,0),IMPRODUCT(D153,IMSUM(COMPLEX(Ported!C$16-(2*PI()*B153)^2*Ported!C$15,0),IMPRODUCT(C153,IMSUM(COMPLEX(Ported!C$17,0),IMDIV(COMPLEX(Ported!C$18^2,0),D153))),IMPRODUCT(COMPLEX(Ported!C$14*Ported!C$41/Ported!C$24,0),G153))))</f>
        <v>-9.26135894302212E-06-2.68650900642544E-06i</v>
      </c>
      <c r="I153" s="27">
        <f t="shared" si="21"/>
        <v>-163.82376133552799</v>
      </c>
      <c r="J153" s="20" t="str">
        <f>IMPRODUCT(IMDIV(IMPRODUCT(COMPLEX(-Ported!C$41,0),F153),IMSUM(IMPRODUCT(COMPLEX(Ported!C$41,0),E153),COMPLEX(Calculations!C$3-(2*PI()*B153)^2*Ported!C$38,0),IMPRODUCT(COMPLEX(Calculations!C$4,0),C153))),H153)</f>
        <v>-7.04938258134016E-07-2.17165328234587E-07i</v>
      </c>
      <c r="K153" s="27">
        <f t="shared" si="22"/>
        <v>-162.87787577154475</v>
      </c>
      <c r="L153" s="40" t="str">
        <f>IMSUM(IMPRODUCT(COMPLEX(-(Ported!C$14/Ported!C$24),0),H153),IMDIV(IMPRODUCT(COMPLEX(-Ported!C$41,0),J153),IMSUM(COMPLEX(Ported!C$41,0),IMPRODUCT(COMPLEX(Ported!C$42,0),C153))),IMDIV(IMPRODUCT(COMPLEX(Ported!C$42*Ported!C$14/Ported!C$24,0),C153,H153),IMSUM(COMPLEX(Ported!C$41,0),IMPRODUCT(COMPLEX(Ported!C$42,0),C153))))</f>
        <v>2.71973720598412E-07-8.82851247091688E-07i</v>
      </c>
      <c r="M153" s="28">
        <f t="shared" si="23"/>
        <v>-72.877875771553903</v>
      </c>
      <c r="N153" s="39" t="str">
        <f>IMPRODUCT(COMPLEX((Ported!C$10*Ported!C$14)/(2*PI()),0),C153,C153,H153)</f>
        <v>0.108552689274973+0.031488659407661i</v>
      </c>
      <c r="O153" s="28">
        <f t="shared" si="24"/>
        <v>16.176238664472088</v>
      </c>
      <c r="P153" s="26" t="str">
        <f>IMPRODUCT(COMPLEX((Ported!C$10*Ported!C$24)/(2*PI()),0),C153,C153,J153)</f>
        <v>0.00142382376677554+0.000438627286988916i</v>
      </c>
      <c r="Q153" s="23">
        <f t="shared" si="25"/>
        <v>17.122124228455213</v>
      </c>
      <c r="R153" s="41" t="str">
        <f>IMPRODUCT(COMPLEX((Ported!C$10*Ported!C$24)/(2*PI()),0),C153,C153,L153)</f>
        <v>-0.000549328459419164+0.00178316976505706i</v>
      </c>
      <c r="S153" s="33">
        <f t="shared" si="26"/>
        <v>107.12212422844608</v>
      </c>
      <c r="T153" s="38">
        <f>IMABS(IMDIV(D153,IMSUB(COMPLEX(1,0),IMPRODUCT(COMPLEX(Ported!C$18,0),IMPRODUCT(C153,H153)))))</f>
        <v>6.2424996702052082</v>
      </c>
      <c r="U153" s="21">
        <f>20*LOG10(Ported!C$29*50000*IMABS(N153))</f>
        <v>104.8703185280098</v>
      </c>
      <c r="V153" s="22">
        <f>20*LOG10(Ported!C$29*50000*IMABS(P153))</f>
        <v>67.269514204670202</v>
      </c>
      <c r="W153" s="22">
        <f>20*LOG10(Ported!C$29*50000*IMABS(R153))</f>
        <v>69.224243279786918</v>
      </c>
      <c r="X153" s="28">
        <f>1000*Ported!C$29*IMABS(H153)</f>
        <v>0.29893726132533205</v>
      </c>
      <c r="Y153" s="28">
        <f>1000*Ported!C$29*IMABS(J153)</f>
        <v>2.28665449334414E-2</v>
      </c>
      <c r="Z153" s="28">
        <f>Ported!C$29*IMABS(IMPRODUCT(C153,J153))</f>
        <v>3.7786456396913137E-2</v>
      </c>
      <c r="AA153" s="28">
        <f>1000*Ported!C$29*IMABS(L153)</f>
        <v>2.8637625321405052E-2</v>
      </c>
      <c r="AB153" s="41" t="str">
        <f t="shared" si="27"/>
        <v>0.109427184582329+0.033710456459707i</v>
      </c>
      <c r="AC153" s="28">
        <f>20*LOG10(Ported!C$29*50000*IMABS(AB153))</f>
        <v>104.98289395547391</v>
      </c>
      <c r="AD153" s="28">
        <f t="shared" si="28"/>
        <v>177478.07019406479</v>
      </c>
      <c r="AE153" s="23">
        <f t="shared" si="29"/>
        <v>17.122124228455395</v>
      </c>
      <c r="AG153" s="64"/>
      <c r="AH153" s="1"/>
      <c r="AI153" s="1"/>
      <c r="AJ153" s="1"/>
      <c r="AK153" s="2"/>
      <c r="AL153" s="2"/>
      <c r="AM153" s="2"/>
      <c r="AN153" s="2"/>
      <c r="AO153" s="2"/>
      <c r="AP153" s="2"/>
      <c r="AQ153" s="3"/>
      <c r="AR153" s="3"/>
      <c r="AS153" s="2"/>
      <c r="AT153" s="8"/>
      <c r="AU153" s="8"/>
    </row>
    <row r="154" spans="2:47" x14ac:dyDescent="0.25">
      <c r="B154" s="25">
        <v>269</v>
      </c>
      <c r="C154" s="17" t="str">
        <f t="shared" si="20"/>
        <v>1690.17684763131i</v>
      </c>
      <c r="D154" s="18" t="str">
        <f>COMPLEX(Ported!C$19,2*PI()*B154*Ported!C$20)</f>
        <v>6</v>
      </c>
      <c r="E154" s="19" t="str">
        <f>IMSUB(COMPLEX(1,0),IMDIV(COMPLEX(Ported!C$41,0),IMSUM(COMPLEX(Ported!C$41,0),IMPRODUCT(C154,COMPLEX(Ported!C$42,0)))))</f>
        <v>0.999746235044433+0.0159279803777658i</v>
      </c>
      <c r="F154" s="19" t="str">
        <f>IMDIV(IMPRODUCT(C154,COMPLEX((Ported!C$42*Ported!C$14/Ported!C$24),0)),IMSUM(COMPLEX(Ported!C$41,0),IMPRODUCT(C154,COMPLEX(Ported!C$42,0))))</f>
        <v>5.80163618264127+0.0924318032284857i</v>
      </c>
      <c r="G154" s="30" t="str">
        <f>IMPRODUCT(F154,IMSUB(COMPLEX(1,0),IMDIV(IMPRODUCT(COMPLEX(Ported!C$41,0),E154),IMSUM(COMPLEX(0-(2*PI()*B154)^2*Ported!C$38,0),IMPRODUCT(C154,COMPLEX(0,0)),IMPRODUCT(COMPLEX(Ported!C$41,0),E154)))))</f>
        <v>5.87466583874442+0.0947740792053759i</v>
      </c>
      <c r="H154" s="32" t="str">
        <f>IMDIV(COMPLEX(Ported!C$18,0),IMPRODUCT(D154,IMSUM(COMPLEX(Ported!C$16-(2*PI()*B154)^2*Ported!C$15,0),IMPRODUCT(C154,IMSUM(COMPLEX(Ported!C$17,0),IMDIV(COMPLEX(Ported!C$18^2,0),D154))),IMPRODUCT(COMPLEX(Ported!C$14*Ported!C$41/Ported!C$24,0),G154))))</f>
        <v>-0.0000088739739224886-0.0000025135310178101i</v>
      </c>
      <c r="I154" s="27">
        <f t="shared" si="21"/>
        <v>-164.18535805069129</v>
      </c>
      <c r="J154" s="20" t="str">
        <f>IMPRODUCT(IMDIV(IMPRODUCT(COMPLEX(-Ported!C$41,0),F154),IMSUM(IMPRODUCT(COMPLEX(Ported!C$41,0),E154),COMPLEX(Calculations!C$3-(2*PI()*B154)^2*Ported!C$38,0),IMPRODUCT(COMPLEX(Calculations!C$4,0),C154))),H154)</f>
        <v>-6.4543155127385E-07-1.94116440639501E-07i</v>
      </c>
      <c r="K154" s="27">
        <f t="shared" si="22"/>
        <v>-163.26110399464247</v>
      </c>
      <c r="L154" s="40" t="str">
        <f>IMSUM(IMPRODUCT(COMPLEX(-(Ported!C$14/Ported!C$24),0),H154),IMDIV(IMPRODUCT(COMPLEX(-Ported!C$41,0),J154),IMSUM(COMPLEX(Ported!C$41,0),IMPRODUCT(COMPLEX(Ported!C$42,0),C154))),IMDIV(IMPRODUCT(COMPLEX(Ported!C$42*Ported!C$14/Ported!C$24,0),C154,H154),IMSUM(COMPLEX(Ported!C$41,0),IMPRODUCT(COMPLEX(Ported!C$42,0),C154))))</f>
        <v>2.48653916819038E-07-8.26767082346048E-07i</v>
      </c>
      <c r="M154" s="28">
        <f t="shared" si="23"/>
        <v>-73.261103994651279</v>
      </c>
      <c r="N154" s="39" t="str">
        <f>IMPRODUCT(COMPLEX((Ported!C$10*Ported!C$14)/(2*PI()),0),C154,C154,H154)</f>
        <v>0.108812072387096+0.0308207485672284i</v>
      </c>
      <c r="O154" s="28">
        <f t="shared" si="24"/>
        <v>15.814641949308633</v>
      </c>
      <c r="P154" s="26" t="str">
        <f>IMPRODUCT(COMPLEX((Ported!C$10*Ported!C$24)/(2*PI()),0),C154,C154,J154)</f>
        <v>0.00136379285743674+0.000410166832923962i</v>
      </c>
      <c r="Q154" s="23">
        <f t="shared" si="25"/>
        <v>16.738896005357564</v>
      </c>
      <c r="R154" s="41" t="str">
        <f>IMPRODUCT(COMPLEX((Ported!C$10*Ported!C$24)/(2*PI()),0),C154,C154,L154)</f>
        <v>-0.000525404181221367+0.00174695370785949i</v>
      </c>
      <c r="S154" s="33">
        <f t="shared" si="26"/>
        <v>106.73889600534872</v>
      </c>
      <c r="T154" s="38">
        <f>IMABS(IMDIV(D154,IMSUB(COMPLEX(1,0),IMPRODUCT(COMPLEX(Ported!C$18,0),IMPRODUCT(C154,H154)))))</f>
        <v>6.2314429799502227</v>
      </c>
      <c r="U154" s="21">
        <f>20*LOG10(Ported!C$29*50000*IMABS(N154))</f>
        <v>104.87533453194169</v>
      </c>
      <c r="V154" s="22">
        <f>20*LOG10(Ported!C$29*50000*IMABS(P154))</f>
        <v>66.877672773505466</v>
      </c>
      <c r="W154" s="22">
        <f>20*LOG10(Ported!C$29*50000*IMABS(R154))</f>
        <v>69.028332478875058</v>
      </c>
      <c r="X154" s="28">
        <f>1000*Ported!C$29*IMABS(H154)</f>
        <v>0.28591555842884042</v>
      </c>
      <c r="Y154" s="28">
        <f>1000*Ported!C$29*IMABS(J154)</f>
        <v>2.0893702874071197E-2</v>
      </c>
      <c r="Z154" s="28">
        <f>Ported!C$29*IMABS(IMPRODUCT(C154,J154))</f>
        <v>3.5314052859042835E-2</v>
      </c>
      <c r="AA154" s="28">
        <f>1000*Ported!C$29*IMABS(L154)</f>
        <v>2.6763838443452551E-2</v>
      </c>
      <c r="AB154" s="41" t="str">
        <f t="shared" si="27"/>
        <v>0.109650461063311+0.0329778691080119i</v>
      </c>
      <c r="AC154" s="28">
        <f>20*LOG10(Ported!C$29*50000*IMABS(AB154))</f>
        <v>104.98291378481527</v>
      </c>
      <c r="AD154" s="28">
        <f t="shared" si="28"/>
        <v>177478.47536583219</v>
      </c>
      <c r="AE154" s="23">
        <f t="shared" si="29"/>
        <v>16.738896005357518</v>
      </c>
      <c r="AG154" s="64"/>
      <c r="AH154" s="1"/>
      <c r="AI154" s="1"/>
      <c r="AJ154" s="1"/>
      <c r="AK154" s="2"/>
      <c r="AL154" s="2"/>
      <c r="AM154" s="2"/>
      <c r="AN154" s="2"/>
      <c r="AO154" s="2"/>
      <c r="AP154" s="2"/>
      <c r="AQ154" s="3"/>
      <c r="AR154" s="3"/>
      <c r="AS154" s="2"/>
      <c r="AT154" s="8"/>
      <c r="AU154" s="8"/>
    </row>
    <row r="155" spans="2:47" x14ac:dyDescent="0.25">
      <c r="B155" s="25">
        <v>275</v>
      </c>
      <c r="C155" s="17" t="str">
        <f t="shared" si="20"/>
        <v>1727.87595947439i</v>
      </c>
      <c r="D155" s="18" t="str">
        <f>COMPLEX(Ported!C$19,2*PI()*B155*Ported!C$20)</f>
        <v>6</v>
      </c>
      <c r="E155" s="19" t="str">
        <f>IMSUB(COMPLEX(1,0),IMDIV(COMPLEX(Ported!C$41,0),IMSUM(COMPLEX(Ported!C$41,0),IMPRODUCT(C155,COMPLEX(Ported!C$42,0)))))</f>
        <v>0.999757184964353+0.0155806314539899i</v>
      </c>
      <c r="F155" s="19" t="str">
        <f>IMDIV(IMPRODUCT(C155,COMPLEX((Ported!C$42*Ported!C$14/Ported!C$24),0)),IMSUM(COMPLEX(Ported!C$41,0),IMPRODUCT(C155,COMPLEX(Ported!C$42,0))))</f>
        <v>5.80169972621801+0.0904160996293716i</v>
      </c>
      <c r="G155" s="30" t="str">
        <f>IMPRODUCT(F155,IMSUB(COMPLEX(1,0),IMDIV(IMPRODUCT(COMPLEX(Ported!C$41,0),E155),IMSUM(COMPLEX(0-(2*PI()*B155)^2*Ported!C$38,0),IMPRODUCT(C155,COMPLEX(0,0)),IMPRODUCT(COMPLEX(Ported!C$41,0),E155)))))</f>
        <v>5.87154178766805+0.0926066429255106i</v>
      </c>
      <c r="H155" s="32" t="str">
        <f>IMDIV(COMPLEX(Ported!C$18,0),IMPRODUCT(D155,IMSUM(COMPLEX(Ported!C$16-(2*PI()*B155)^2*Ported!C$15,0),IMPRODUCT(C155,IMSUM(COMPLEX(Ported!C$17,0),IMDIV(COMPLEX(Ported!C$18^2,0),D155))),IMPRODUCT(COMPLEX(Ported!C$14*Ported!C$41/Ported!C$24,0),G155))))</f>
        <v>-8.50992204034216E-06-0.0000023550324628644i</v>
      </c>
      <c r="I155" s="27">
        <f t="shared" si="21"/>
        <v>-164.53112574609588</v>
      </c>
      <c r="J155" s="20" t="str">
        <f>IMPRODUCT(IMDIV(IMPRODUCT(COMPLEX(-Ported!C$41,0),F155),IMSUM(IMPRODUCT(COMPLEX(Ported!C$41,0),E155),COMPLEX(Calculations!C$3-(2*PI()*B155)^2*Ported!C$38,0),IMPRODUCT(COMPLEX(Calculations!C$4,0),C155))),H155)</f>
        <v>-5.92045541783404E-07-1.73939466391581E-07i</v>
      </c>
      <c r="K155" s="27">
        <f t="shared" si="22"/>
        <v>-163.6275249404477</v>
      </c>
      <c r="L155" s="40" t="str">
        <f>IMSUM(IMPRODUCT(COMPLEX(-(Ported!C$14/Ported!C$24),0),H155),IMDIV(IMPRODUCT(COMPLEX(-Ported!C$41,0),J155),IMSUM(COMPLEX(Ported!C$41,0),IMPRODUCT(COMPLEX(Ported!C$42,0),C155))),IMDIV(IMPRODUCT(COMPLEX(Ported!C$42*Ported!C$14/Ported!C$24,0),C155,H155),IMSUM(COMPLEX(Ported!C$41,0),IMPRODUCT(COMPLEX(Ported!C$42,0),C155))))</f>
        <v>2.27777872655682E-07-7.75297733287872E-07i</v>
      </c>
      <c r="M155" s="28">
        <f t="shared" si="23"/>
        <v>-73.627524940446591</v>
      </c>
      <c r="N155" s="39" t="str">
        <f>IMPRODUCT(COMPLEX((Ported!C$10*Ported!C$14)/(2*PI()),0),C155,C155,H155)</f>
        <v>0.109054939910546+0.030179820979269i</v>
      </c>
      <c r="O155" s="28">
        <f t="shared" si="24"/>
        <v>15.468874253904103</v>
      </c>
      <c r="P155" s="26" t="str">
        <f>IMPRODUCT(COMPLEX((Ported!C$10*Ported!C$24)/(2*PI()),0),C155,C155,J155)</f>
        <v>0.00130741710557954+0.000384111386111792i</v>
      </c>
      <c r="Q155" s="23">
        <f t="shared" si="25"/>
        <v>16.372475059552276</v>
      </c>
      <c r="R155" s="41" t="str">
        <f>IMPRODUCT(COMPLEX((Ported!C$10*Ported!C$24)/(2*PI()),0),C155,C155,L155)</f>
        <v>-0.000503003005622673+0.00171209382873529i</v>
      </c>
      <c r="S155" s="33">
        <f t="shared" si="26"/>
        <v>106.37247505955338</v>
      </c>
      <c r="T155" s="38">
        <f>IMABS(IMDIV(D155,IMSUB(COMPLEX(1,0),IMPRODUCT(COMPLEX(Ported!C$18,0),IMPRODUCT(C155,H155)))))</f>
        <v>6.2211330315863922</v>
      </c>
      <c r="U155" s="21">
        <f>20*LOG10(Ported!C$29*50000*IMABS(N155))</f>
        <v>104.88002329355979</v>
      </c>
      <c r="V155" s="22">
        <f>20*LOG10(Ported!C$29*50000*IMABS(P155))</f>
        <v>66.49447479295722</v>
      </c>
      <c r="W155" s="22">
        <f>20*LOG10(Ported!C$29*50000*IMABS(R155))</f>
        <v>68.836742774885039</v>
      </c>
      <c r="X155" s="28">
        <f>1000*Ported!C$29*IMABS(H155)</f>
        <v>0.27372306797843399</v>
      </c>
      <c r="Y155" s="28">
        <f>1000*Ported!C$29*IMABS(J155)</f>
        <v>1.9129106615708394E-2</v>
      </c>
      <c r="Z155" s="28">
        <f>Ported!C$29*IMABS(IMPRODUCT(C155,J155))</f>
        <v>3.3052723447504921E-2</v>
      </c>
      <c r="AA155" s="28">
        <f>1000*Ported!C$29*IMABS(L155)</f>
        <v>2.5050020568192329E-2</v>
      </c>
      <c r="AB155" s="41" t="str">
        <f t="shared" si="27"/>
        <v>0.109859354010503+0.0322760261941161i</v>
      </c>
      <c r="AC155" s="28">
        <f>20*LOG10(Ported!C$29*50000*IMABS(AB155))</f>
        <v>104.98293235738123</v>
      </c>
      <c r="AD155" s="28">
        <f t="shared" si="28"/>
        <v>177478.85485882021</v>
      </c>
      <c r="AE155" s="23">
        <f t="shared" si="29"/>
        <v>16.372475059552396</v>
      </c>
      <c r="AG155" s="64"/>
      <c r="AH155" s="1"/>
      <c r="AI155" s="1"/>
      <c r="AJ155" s="1"/>
      <c r="AK155" s="2"/>
      <c r="AL155" s="2"/>
      <c r="AM155" s="2"/>
      <c r="AN155" s="2"/>
      <c r="AO155" s="2"/>
      <c r="AP155" s="2"/>
      <c r="AQ155" s="3"/>
      <c r="AR155" s="3"/>
      <c r="AS155" s="2"/>
      <c r="AT155" s="8"/>
      <c r="AU155" s="8"/>
    </row>
    <row r="156" spans="2:47" x14ac:dyDescent="0.25">
      <c r="B156" s="25">
        <v>282</v>
      </c>
      <c r="C156" s="17" t="str">
        <f t="shared" si="20"/>
        <v>1771.85825662464i</v>
      </c>
      <c r="D156" s="18" t="str">
        <f>COMPLEX(Ported!C$19,2*PI()*B156*Ported!C$20)</f>
        <v>6</v>
      </c>
      <c r="E156" s="19" t="str">
        <f>IMSUB(COMPLEX(1,0),IMDIV(COMPLEX(Ported!C$41,0),IMSUM(COMPLEX(Ported!C$41,0),IMPRODUCT(C156,COMPLEX(Ported!C$42,0)))))</f>
        <v>0.999769087248074+0.0151940590767185i</v>
      </c>
      <c r="F156" s="19" t="str">
        <f>IMDIV(IMPRODUCT(C156,COMPLEX((Ported!C$42*Ported!C$14/Ported!C$24),0)),IMSUM(COMPLEX(Ported!C$41,0),IMPRODUCT(C156,COMPLEX(Ported!C$42,0))))</f>
        <v>5.80176879646551+0.0881727780617864i</v>
      </c>
      <c r="G156" s="30" t="str">
        <f>IMPRODUCT(F156,IMSUB(COMPLEX(1,0),IMDIV(IMPRODUCT(COMPLEX(Ported!C$41,0),E156),IMSUM(COMPLEX(0-(2*PI()*B156)^2*Ported!C$38,0),IMPRODUCT(C156,COMPLEX(0,0)),IMPRODUCT(COMPLEX(Ported!C$41,0),E156)))))</f>
        <v>5.86814978575524+0.0902024594225857i</v>
      </c>
      <c r="H156" s="32" t="str">
        <f>IMDIV(COMPLEX(Ported!C$18,0),IMPRODUCT(D156,IMSUM(COMPLEX(Ported!C$16-(2*PI()*B156)^2*Ported!C$15,0),IMPRODUCT(C156,IMSUM(COMPLEX(Ported!C$17,0),IMDIV(COMPLEX(Ported!C$18^2,0),D156))),IMPRODUCT(COMPLEX(Ported!C$14*Ported!C$41/Ported!C$24,0),G156))))</f>
        <v>-8.11229928794111E-06-2.18645614477835E-06i</v>
      </c>
      <c r="I156" s="27">
        <f t="shared" si="21"/>
        <v>-164.91586874301078</v>
      </c>
      <c r="J156" s="20" t="str">
        <f>IMPRODUCT(IMDIV(IMPRODUCT(COMPLEX(-Ported!C$41,0),F156),IMSUM(IMPRODUCT(COMPLEX(Ported!C$41,0),E156),COMPLEX(Calculations!C$3-(2*PI()*B156)^2*Ported!C$38,0),IMPRODUCT(COMPLEX(Calculations!C$4,0),C156))),H156)</f>
        <v>-5.36520638375234E-07-1.53488020652883E-07i</v>
      </c>
      <c r="K156" s="27">
        <f t="shared" si="22"/>
        <v>-164.03521412153481</v>
      </c>
      <c r="L156" s="40" t="str">
        <f>IMSUM(IMPRODUCT(COMPLEX(-(Ported!C$14/Ported!C$24),0),H156),IMDIV(IMPRODUCT(COMPLEX(-Ported!C$41,0),J156),IMSUM(COMPLEX(Ported!C$41,0),IMPRODUCT(COMPLEX(Ported!C$42,0),C156))),IMDIV(IMPRODUCT(COMPLEX(Ported!C$42*Ported!C$14/Ported!C$24,0),C156,H156),IMSUM(COMPLEX(Ported!C$41,0),IMPRODUCT(COMPLEX(Ported!C$42,0),C156))))</f>
        <v>2.06112484876642E-07-7.20470571532415E-07i</v>
      </c>
      <c r="M156" s="28">
        <f t="shared" si="23"/>
        <v>-74.035214121540292</v>
      </c>
      <c r="N156" s="39" t="str">
        <f>IMPRODUCT(COMPLEX((Ported!C$10*Ported!C$14)/(2*PI()),0),C156,C156,H156)</f>
        <v>0.109319227727696+0.0294641122971079i</v>
      </c>
      <c r="O156" s="28">
        <f t="shared" si="24"/>
        <v>15.084131256989263</v>
      </c>
      <c r="P156" s="26" t="str">
        <f>IMPRODUCT(COMPLEX((Ported!C$10*Ported!C$24)/(2*PI()),0),C156,C156,J156)</f>
        <v>0.00124588601018798+0.000356423525928053i</v>
      </c>
      <c r="Q156" s="23">
        <f t="shared" si="25"/>
        <v>15.9647858784652</v>
      </c>
      <c r="R156" s="41" t="str">
        <f>IMPRODUCT(COMPLEX((Ported!C$10*Ported!C$24)/(2*PI()),0),C156,C156,L156)</f>
        <v>-0.000478625877674612+0.00167304692796662i</v>
      </c>
      <c r="S156" s="33">
        <f t="shared" si="26"/>
        <v>105.96478587845968</v>
      </c>
      <c r="T156" s="38">
        <f>IMABS(IMDIV(D156,IMSUB(COMPLEX(1,0),IMPRODUCT(COMPLEX(Ported!C$18,0),IMPRODUCT(C156,H156)))))</f>
        <v>6.2099604237430919</v>
      </c>
      <c r="U156" s="21">
        <f>20*LOG10(Ported!C$29*50000*IMABS(N156))</f>
        <v>104.88511698511388</v>
      </c>
      <c r="V156" s="22">
        <f>20*LOG10(Ported!C$29*50000*IMABS(P156))</f>
        <v>66.057838430594813</v>
      </c>
      <c r="W156" s="22">
        <f>20*LOG10(Ported!C$29*50000*IMABS(R156))</f>
        <v>68.618434702302906</v>
      </c>
      <c r="X156" s="28">
        <f>1000*Ported!C$29*IMABS(H156)</f>
        <v>0.26045533319932662</v>
      </c>
      <c r="Y156" s="28">
        <f>1000*Ported!C$29*IMABS(J156)</f>
        <v>1.729936016559383E-2</v>
      </c>
      <c r="Z156" s="28">
        <f>Ported!C$29*IMABS(IMPRODUCT(C156,J156))</f>
        <v>3.0652014143730824E-2</v>
      </c>
      <c r="AA156" s="28">
        <f>1000*Ported!C$29*IMABS(L156)</f>
        <v>2.323056936522401E-2</v>
      </c>
      <c r="AB156" s="41" t="str">
        <f t="shared" si="27"/>
        <v>0.110086487860209+0.0314935827510026i</v>
      </c>
      <c r="AC156" s="28">
        <f>20*LOG10(Ported!C$29*50000*IMABS(AB156))</f>
        <v>104.98295257458268</v>
      </c>
      <c r="AD156" s="28">
        <f t="shared" si="28"/>
        <v>177479.26795754582</v>
      </c>
      <c r="AE156" s="23">
        <f t="shared" si="29"/>
        <v>15.964785878465252</v>
      </c>
      <c r="AG156" s="64"/>
      <c r="AH156" s="1"/>
      <c r="AI156" s="1"/>
      <c r="AJ156" s="1"/>
      <c r="AK156" s="2"/>
      <c r="AL156" s="2"/>
      <c r="AM156" s="2"/>
      <c r="AN156" s="2"/>
      <c r="AO156" s="2"/>
      <c r="AP156" s="2"/>
      <c r="AQ156" s="3"/>
      <c r="AR156" s="3"/>
      <c r="AS156" s="2"/>
      <c r="AT156" s="8"/>
      <c r="AU156" s="8"/>
    </row>
    <row r="157" spans="2:47" x14ac:dyDescent="0.25">
      <c r="B157" s="25">
        <v>288</v>
      </c>
      <c r="C157" s="17" t="str">
        <f t="shared" si="20"/>
        <v>1809.55736846772i</v>
      </c>
      <c r="D157" s="18" t="str">
        <f>COMPLEX(Ported!C$19,2*PI()*B157*Ported!C$20)</f>
        <v>6</v>
      </c>
      <c r="E157" s="19" t="str">
        <f>IMSUB(COMPLEX(1,0),IMDIV(COMPLEX(Ported!C$41,0),IMSUM(COMPLEX(Ported!C$41,0),IMPRODUCT(C157,COMPLEX(Ported!C$42,0)))))</f>
        <v>0.999778606282268+0.0148776578315814i</v>
      </c>
      <c r="F157" s="19" t="str">
        <f>IMDIV(IMPRODUCT(C157,COMPLEX((Ported!C$42*Ported!C$14/Ported!C$24),0)),IMSUM(COMPLEX(Ported!C$41,0),IMPRODUCT(C157,COMPLEX(Ported!C$42,0))))</f>
        <v>5.80182403645669+0.0863366672091772i</v>
      </c>
      <c r="G157" s="30" t="str">
        <f>IMPRODUCT(F157,IMSUB(COMPLEX(1,0),IMDIV(IMPRODUCT(COMPLEX(Ported!C$41,0),E157),IMSUM(COMPLEX(0-(2*PI()*B157)^2*Ported!C$38,0),IMPRODUCT(C157,COMPLEX(0,0)),IMPRODUCT(COMPLEX(Ported!C$41,0),E157)))))</f>
        <v>5.86543979609297+0.0882408043040379i</v>
      </c>
      <c r="H157" s="32" t="str">
        <f>IMDIV(COMPLEX(Ported!C$18,0),IMPRODUCT(D157,IMSUM(COMPLEX(Ported!C$16-(2*PI()*B157)^2*Ported!C$15,0),IMPRODUCT(C157,IMSUM(COMPLEX(Ported!C$17,0),IMDIV(COMPLEX(Ported!C$18^2,0),D157))),IMPRODUCT(COMPLEX(Ported!C$14*Ported!C$41/Ported!C$24,0),G157))))</f>
        <v>-7.79286198586442E-06-2.05449373700883E-06i</v>
      </c>
      <c r="I157" s="27">
        <f t="shared" si="21"/>
        <v>-165.23071938276308</v>
      </c>
      <c r="J157" s="20" t="str">
        <f>IMPRODUCT(IMDIV(IMPRODUCT(COMPLEX(-Ported!C$41,0),F157),IMSUM(IMPRODUCT(COMPLEX(Ported!C$41,0),E157),COMPLEX(Calculations!C$3-(2*PI()*B157)^2*Ported!C$38,0),IMPRODUCT(COMPLEX(Calculations!C$4,0),C157))),H157)</f>
        <v>-4.94002524279057E-07-1.38217857371293E-07i</v>
      </c>
      <c r="K157" s="27">
        <f t="shared" si="22"/>
        <v>-164.36881567724492</v>
      </c>
      <c r="L157" s="40" t="str">
        <f>IMSUM(IMPRODUCT(COMPLEX(-(Ported!C$14/Ported!C$24),0),H157),IMDIV(IMPRODUCT(COMPLEX(-Ported!C$41,0),J157),IMSUM(COMPLEX(Ported!C$41,0),IMPRODUCT(COMPLEX(Ported!C$42,0),C157))),IMDIV(IMPRODUCT(COMPLEX(Ported!C$42*Ported!C$14/Ported!C$24,0),C157,H157),IMSUM(COMPLEX(Ported!C$41,0),IMPRODUCT(COMPLEX(Ported!C$42,0),C157))))</f>
        <v>1.89555918680604E-07-6.7748917615416E-07i</v>
      </c>
      <c r="M157" s="28">
        <f t="shared" si="23"/>
        <v>-74.368815677247539</v>
      </c>
      <c r="N157" s="39" t="str">
        <f>IMPRODUCT(COMPLEX((Ported!C$10*Ported!C$14)/(2*PI()),0),C157,C157,H157)</f>
        <v>0.109530818720093+0.0288764745838006i</v>
      </c>
      <c r="O157" s="28">
        <f t="shared" si="24"/>
        <v>14.769280617236857</v>
      </c>
      <c r="P157" s="26" t="str">
        <f>IMPRODUCT(COMPLEX((Ported!C$10*Ported!C$24)/(2*PI()),0),C157,C157,J157)</f>
        <v>0.00119648650210048+0.000334767116697125i</v>
      </c>
      <c r="Q157" s="23">
        <f t="shared" si="25"/>
        <v>15.631184322755066</v>
      </c>
      <c r="R157" s="41" t="str">
        <f>IMPRODUCT(COMPLEX((Ported!C$10*Ported!C$24)/(2*PI()),0),C157,C157,L157)</f>
        <v>-0.000459109188613136+0.00164089577430929i</v>
      </c>
      <c r="S157" s="33">
        <f t="shared" si="26"/>
        <v>105.63118432275245</v>
      </c>
      <c r="T157" s="38">
        <f>IMABS(IMDIV(D157,IMSUB(COMPLEX(1,0),IMPRODUCT(COMPLEX(Ported!C$18,0),IMPRODUCT(C157,H157)))))</f>
        <v>6.2010503751096691</v>
      </c>
      <c r="U157" s="21">
        <f>20*LOG10(Ported!C$29*50000*IMABS(N157))</f>
        <v>104.88918859189532</v>
      </c>
      <c r="V157" s="22">
        <f>20*LOG10(Ported!C$29*50000*IMABS(P157))</f>
        <v>65.692119444134363</v>
      </c>
      <c r="W157" s="22">
        <f>20*LOG10(Ported!C$29*50000*IMABS(R157))</f>
        <v>68.435583304640801</v>
      </c>
      <c r="X157" s="28">
        <f>1000*Ported!C$29*IMABS(H157)</f>
        <v>0.24983315710837872</v>
      </c>
      <c r="Y157" s="28">
        <f>1000*Ported!C$29*IMABS(J157)</f>
        <v>1.5902204437022754E-2</v>
      </c>
      <c r="Z157" s="28">
        <f>Ported!C$29*IMABS(IMPRODUCT(C157,J157))</f>
        <v>2.8775951213894584E-2</v>
      </c>
      <c r="AA157" s="28">
        <f>1000*Ported!C$29*IMABS(L157)</f>
        <v>2.1808737513631719E-2</v>
      </c>
      <c r="AB157" s="41" t="str">
        <f t="shared" si="27"/>
        <v>0.11026819603358+0.030852137474807i</v>
      </c>
      <c r="AC157" s="28">
        <f>20*LOG10(Ported!C$29*50000*IMABS(AB157))</f>
        <v>104.98296876571708</v>
      </c>
      <c r="AD157" s="28">
        <f t="shared" si="28"/>
        <v>177479.59879220708</v>
      </c>
      <c r="AE157" s="23">
        <f t="shared" si="29"/>
        <v>15.631184322755082</v>
      </c>
      <c r="AG157" s="64"/>
      <c r="AH157" s="1"/>
      <c r="AI157" s="1"/>
      <c r="AJ157" s="1"/>
      <c r="AK157" s="2"/>
      <c r="AL157" s="2"/>
      <c r="AM157" s="2"/>
      <c r="AN157" s="2"/>
      <c r="AO157" s="2"/>
      <c r="AP157" s="2"/>
      <c r="AQ157" s="3"/>
      <c r="AR157" s="3"/>
      <c r="AS157" s="2"/>
      <c r="AT157" s="8"/>
      <c r="AU157" s="8"/>
    </row>
    <row r="158" spans="2:47" x14ac:dyDescent="0.25">
      <c r="B158" s="25">
        <v>295</v>
      </c>
      <c r="C158" s="17" t="str">
        <f t="shared" si="20"/>
        <v>1853.53966561798i</v>
      </c>
      <c r="D158" s="18" t="str">
        <f>COMPLEX(Ported!C$19,2*PI()*B158*Ported!C$20)</f>
        <v>6</v>
      </c>
      <c r="E158" s="19" t="str">
        <f>IMSUB(COMPLEX(1,0),IMDIV(COMPLEX(Ported!C$41,0),IMSUM(COMPLEX(Ported!C$41,0),IMPRODUCT(C158,COMPLEX(Ported!C$42,0)))))</f>
        <v>0.999788986254799+0.0145247794613288i</v>
      </c>
      <c r="F158" s="19" t="str">
        <f>IMDIV(IMPRODUCT(C158,COMPLEX((Ported!C$42*Ported!C$14/Ported!C$24),0)),IMSUM(COMPLEX(Ported!C$41,0),IMPRODUCT(C158,COMPLEX(Ported!C$42,0))))</f>
        <v>5.80188427256672+0.0842888756305093i</v>
      </c>
      <c r="G158" s="30" t="str">
        <f>IMPRODUCT(F158,IMSUB(COMPLEX(1,0),IMDIV(IMPRODUCT(COMPLEX(Ported!C$41,0),E158),IMSUM(COMPLEX(0-(2*PI()*B158)^2*Ported!C$38,0),IMPRODUCT(C158,COMPLEX(0,0)),IMPRODUCT(COMPLEX(Ported!C$41,0),E158)))))</f>
        <v>5.86248755260121+0.0860593238076231i</v>
      </c>
      <c r="H158" s="32" t="str">
        <f>IMDIV(COMPLEX(Ported!C$18,0),IMPRODUCT(D158,IMSUM(COMPLEX(Ported!C$16-(2*PI()*B158)^2*Ported!C$15,0),IMPRODUCT(C158,IMSUM(COMPLEX(Ported!C$17,0),IMDIV(COMPLEX(Ported!C$18^2,0),D158))),IMPRODUCT(COMPLEX(Ported!C$14*Ported!C$41/Ported!C$24,0),G158))))</f>
        <v>-7.44308033168327E-06-1.91357675938926E-06i</v>
      </c>
      <c r="I158" s="27">
        <f t="shared" si="21"/>
        <v>-165.58181313676494</v>
      </c>
      <c r="J158" s="20" t="str">
        <f>IMPRODUCT(IMDIV(IMPRODUCT(COMPLEX(-Ported!C$41,0),F158),IMSUM(IMPRODUCT(COMPLEX(Ported!C$41,0),E158),COMPLEX(Calculations!C$3-(2*PI()*B158)^2*Ported!C$38,0),IMPRODUCT(COMPLEX(Calculations!C$4,0),C158))),H158)</f>
        <v>-4.4956341520234E-07-1.22642686054942E-07i</v>
      </c>
      <c r="K158" s="27">
        <f t="shared" si="22"/>
        <v>-164.74079098404391</v>
      </c>
      <c r="L158" s="40" t="str">
        <f>IMSUM(IMPRODUCT(COMPLEX(-(Ported!C$14/Ported!C$24),0),H158),IMDIV(IMPRODUCT(COMPLEX(-Ported!C$41,0),J158),IMSUM(COMPLEX(Ported!C$41,0),IMPRODUCT(COMPLEX(Ported!C$42,0),C158))),IMDIV(IMPRODUCT(COMPLEX(Ported!C$42*Ported!C$14/Ported!C$24,0),C158,H158),IMSUM(COMPLEX(Ported!C$41,0),IMPRODUCT(COMPLEX(Ported!C$42,0),C158))))</f>
        <v>1.72283773267638E-07-6.31529559450989E-07i</v>
      </c>
      <c r="M158" s="28">
        <f t="shared" si="23"/>
        <v>-74.740790984047393</v>
      </c>
      <c r="N158" s="39" t="str">
        <f>IMPRODUCT(COMPLEX((Ported!C$10*Ported!C$14)/(2*PI()),0),C158,C158,H158)</f>
        <v>0.109761772542993+0.0282191737355791i</v>
      </c>
      <c r="O158" s="28">
        <f t="shared" si="24"/>
        <v>14.418186863235073</v>
      </c>
      <c r="P158" s="26" t="str">
        <f>IMPRODUCT(COMPLEX((Ported!C$10*Ported!C$24)/(2*PI()),0),C158,C158,J158)</f>
        <v>0.00114242751308232+0.00031165876512532i</v>
      </c>
      <c r="Q158" s="23">
        <f t="shared" si="25"/>
        <v>15.259209015956055</v>
      </c>
      <c r="R158" s="41" t="str">
        <f>IMPRODUCT(COMPLEX((Ported!C$10*Ported!C$24)/(2*PI()),0),C158,C158,L158)</f>
        <v>-0.000437806360533141+0.00160483864933013i</v>
      </c>
      <c r="S158" s="33">
        <f t="shared" si="26"/>
        <v>105.25920901595265</v>
      </c>
      <c r="T158" s="38">
        <f>IMABS(IMDIV(D158,IMSUB(COMPLEX(1,0),IMPRODUCT(COMPLEX(Ported!C$18,0),IMPRODUCT(C158,H158)))))</f>
        <v>6.1913601078197606</v>
      </c>
      <c r="U158" s="21">
        <f>20*LOG10(Ported!C$29*50000*IMABS(N158))</f>
        <v>104.89362627382926</v>
      </c>
      <c r="V158" s="22">
        <f>20*LOG10(Ported!C$29*50000*IMABS(P158))</f>
        <v>65.274955993450021</v>
      </c>
      <c r="W158" s="22">
        <f>20*LOG10(Ported!C$29*50000*IMABS(R158))</f>
        <v>68.227010418335865</v>
      </c>
      <c r="X158" s="28">
        <f>1000*Ported!C$29*IMABS(H158)</f>
        <v>0.23823902540365721</v>
      </c>
      <c r="Y158" s="28">
        <f>1000*Ported!C$29*IMABS(J158)</f>
        <v>1.4445750292547885E-2</v>
      </c>
      <c r="Z158" s="28">
        <f>Ported!C$29*IMABS(IMPRODUCT(C158,J158))</f>
        <v>2.6775771166850034E-2</v>
      </c>
      <c r="AA158" s="28">
        <f>1000*Ported!C$29*IMABS(L158)</f>
        <v>2.0292839696676734E-2</v>
      </c>
      <c r="AB158" s="41" t="str">
        <f t="shared" si="27"/>
        <v>0.110466393695542+0.0301356711500346i</v>
      </c>
      <c r="AC158" s="28">
        <f>20*LOG10(Ported!C$29*50000*IMABS(AB158))</f>
        <v>104.98298644378997</v>
      </c>
      <c r="AD158" s="28">
        <f t="shared" si="28"/>
        <v>177479.96001029838</v>
      </c>
      <c r="AE158" s="23">
        <f t="shared" si="29"/>
        <v>15.259209015956303</v>
      </c>
      <c r="AG158" s="64"/>
      <c r="AH158" s="1"/>
      <c r="AI158" s="1"/>
      <c r="AJ158" s="1"/>
      <c r="AK158" s="2"/>
      <c r="AL158" s="2"/>
      <c r="AM158" s="2"/>
      <c r="AN158" s="2"/>
      <c r="AO158" s="2"/>
      <c r="AP158" s="2"/>
      <c r="AQ158" s="3"/>
      <c r="AR158" s="3"/>
      <c r="AS158" s="2"/>
      <c r="AT158" s="8"/>
      <c r="AU158" s="8"/>
    </row>
    <row r="159" spans="2:47" x14ac:dyDescent="0.25">
      <c r="B159" s="25">
        <v>302</v>
      </c>
      <c r="C159" s="17" t="str">
        <f t="shared" si="20"/>
        <v>1897.52196276823i</v>
      </c>
      <c r="D159" s="18" t="str">
        <f>COMPLEX(Ported!C$19,2*PI()*B159*Ported!C$20)</f>
        <v>6</v>
      </c>
      <c r="E159" s="19" t="str">
        <f>IMSUB(COMPLEX(1,0),IMDIV(COMPLEX(Ported!C$41,0),IMSUM(COMPLEX(Ported!C$41,0),IMPRODUCT(C159,COMPLEX(Ported!C$42,0)))))</f>
        <v>0.999798653033538+0.0141882495700124i</v>
      </c>
      <c r="F159" s="19" t="str">
        <f>IMDIV(IMPRODUCT(C159,COMPLEX((Ported!C$42*Ported!C$14/Ported!C$24),0)),IMSUM(COMPLEX(Ported!C$41,0),IMPRODUCT(C159,COMPLEX(Ported!C$42,0))))</f>
        <v>5.80194036993556+0.0823359560539582i</v>
      </c>
      <c r="G159" s="30" t="str">
        <f>IMPRODUCT(F159,IMSUB(COMPLEX(1,0),IMDIV(IMPRODUCT(COMPLEX(Ported!C$41,0),E159),IMSUM(COMPLEX(0-(2*PI()*B159)^2*Ported!C$38,0),IMPRODUCT(C159,COMPLEX(0,0)),IMPRODUCT(COMPLEX(Ported!C$41,0),E159)))))</f>
        <v>5.85974082214421+0.0839849711587318i</v>
      </c>
      <c r="H159" s="32" t="str">
        <f>IMDIV(COMPLEX(Ported!C$18,0),IMPRODUCT(D159,IMSUM(COMPLEX(Ported!C$16-(2*PI()*B159)^2*Ported!C$15,0),IMPRODUCT(C159,IMSUM(COMPLEX(Ported!C$17,0),IMDIV(COMPLEX(Ported!C$18^2,0),D159))),IMPRODUCT(COMPLEX(Ported!C$14*Ported!C$41/Ported!C$24,0),G159))))</f>
        <v>-7.11596632679987E-06-1.78521718323516E-06i</v>
      </c>
      <c r="I159" s="27">
        <f t="shared" si="21"/>
        <v>-165.91658807829617</v>
      </c>
      <c r="J159" s="20" t="str">
        <f>IMPRODUCT(IMDIV(IMPRODUCT(COMPLEX(-Ported!C$41,0),F159),IMSUM(IMPRODUCT(COMPLEX(Ported!C$41,0),E159),COMPLEX(Calculations!C$3-(2*PI()*B159)^2*Ported!C$38,0),IMPRODUCT(COMPLEX(Calculations!C$4,0),C159))),H159)</f>
        <v>-4.09993073378974E-07-1.09125584497908E-07i</v>
      </c>
      <c r="K159" s="27">
        <f t="shared" si="22"/>
        <v>-165.09545023598903</v>
      </c>
      <c r="L159" s="40" t="str">
        <f>IMSUM(IMPRODUCT(COMPLEX(-(Ported!C$14/Ported!C$24),0),H159),IMDIV(IMPRODUCT(COMPLEX(-Ported!C$41,0),J159),IMSUM(COMPLEX(Ported!C$41,0),IMPRODUCT(COMPLEX(Ported!C$42,0),C159))),IMDIV(IMPRODUCT(COMPLEX(Ported!C$42*Ported!C$14/Ported!C$24,0),C159,H159),IMSUM(COMPLEX(Ported!C$41,0),IMPRODUCT(COMPLEX(Ported!C$42,0),C159))))</f>
        <v>1.56932983420721E-07-5.89609086478376E-07i</v>
      </c>
      <c r="M159" s="28">
        <f t="shared" si="23"/>
        <v>-75.095450235997305</v>
      </c>
      <c r="N159" s="39" t="str">
        <f>IMPRODUCT(COMPLEX((Ported!C$10*Ported!C$14)/(2*PI()),0),C159,C159,H159)</f>
        <v>0.109977069689539+0.0275904839279795i</v>
      </c>
      <c r="O159" s="28">
        <f t="shared" si="24"/>
        <v>14.083411921703773</v>
      </c>
      <c r="P159" s="26" t="str">
        <f>IMPRODUCT(COMPLEX((Ported!C$10*Ported!C$24)/(2*PI()),0),C159,C159,J159)</f>
        <v>0.0010919030157186+0.000290625775268112i</v>
      </c>
      <c r="Q159" s="23">
        <f t="shared" si="25"/>
        <v>14.904549764010925</v>
      </c>
      <c r="R159" s="41" t="str">
        <f>IMPRODUCT(COMPLEX((Ported!C$10*Ported!C$24)/(2*PI()),0),C159,C159,L159)</f>
        <v>-0.000417947543480596+0.00157026052736686i</v>
      </c>
      <c r="S159" s="33">
        <f t="shared" si="26"/>
        <v>104.90454976400267</v>
      </c>
      <c r="T159" s="38">
        <f>IMABS(IMDIV(D159,IMSUB(COMPLEX(1,0),IMPRODUCT(COMPLEX(Ported!C$18,0),IMPRODUCT(C159,H159)))))</f>
        <v>6.1823596110955812</v>
      </c>
      <c r="U159" s="21">
        <f>20*LOG10(Ported!C$29*50000*IMABS(N159))</f>
        <v>104.89775700851405</v>
      </c>
      <c r="V159" s="22">
        <f>20*LOG10(Ported!C$29*50000*IMABS(P159))</f>
        <v>64.86757539900465</v>
      </c>
      <c r="W159" s="22">
        <f>20*LOG10(Ported!C$29*50000*IMABS(R159))</f>
        <v>68.023328363469574</v>
      </c>
      <c r="X159" s="28">
        <f>1000*Ported!C$29*IMABS(H159)</f>
        <v>0.22743096105500779</v>
      </c>
      <c r="Y159" s="28">
        <f>1000*Ported!C$29*IMABS(J159)</f>
        <v>1.3152285261038388E-2</v>
      </c>
      <c r="Z159" s="28">
        <f>Ported!C$29*IMABS(IMPRODUCT(C159,J159))</f>
        <v>2.4956750143413239E-2</v>
      </c>
      <c r="AA159" s="28">
        <f>1000*Ported!C$29*IMABS(L159)</f>
        <v>1.8914238803970116E-2</v>
      </c>
      <c r="AB159" s="41" t="str">
        <f t="shared" si="27"/>
        <v>0.110651025161777+0.0294513702306145i</v>
      </c>
      <c r="AC159" s="28">
        <f>20*LOG10(Ported!C$29*50000*IMABS(AB159))</f>
        <v>104.98300292850419</v>
      </c>
      <c r="AD159" s="28">
        <f t="shared" si="28"/>
        <v>177480.2968450179</v>
      </c>
      <c r="AE159" s="23">
        <f t="shared" si="29"/>
        <v>14.904549764011001</v>
      </c>
      <c r="AG159" s="64"/>
      <c r="AH159" s="1"/>
      <c r="AI159" s="1"/>
      <c r="AJ159" s="1"/>
      <c r="AK159" s="2"/>
      <c r="AL159" s="2"/>
      <c r="AM159" s="2"/>
      <c r="AN159" s="2"/>
      <c r="AO159" s="2"/>
      <c r="AP159" s="2"/>
      <c r="AQ159" s="3"/>
      <c r="AR159" s="3"/>
      <c r="AS159" s="2"/>
      <c r="AT159" s="8"/>
      <c r="AU159" s="8"/>
    </row>
    <row r="160" spans="2:47" x14ac:dyDescent="0.25">
      <c r="B160" s="25">
        <v>309</v>
      </c>
      <c r="C160" s="17" t="str">
        <f t="shared" si="20"/>
        <v>1941.50425991849i</v>
      </c>
      <c r="D160" s="18" t="str">
        <f>COMPLEX(Ported!C$19,2*PI()*B160*Ported!C$20)</f>
        <v>6</v>
      </c>
      <c r="E160" s="19" t="str">
        <f>IMSUB(COMPLEX(1,0),IMDIV(COMPLEX(Ported!C$41,0),IMSUM(COMPLEX(Ported!C$41,0),IMPRODUCT(C160,COMPLEX(Ported!C$42,0)))))</f>
        <v>0.99980767048569+0.0138669579817711i</v>
      </c>
      <c r="F160" s="19" t="str">
        <f>IMDIV(IMPRODUCT(C160,COMPLEX((Ported!C$42*Ported!C$14/Ported!C$24),0)),IMSUM(COMPLEX(Ported!C$41,0),IMPRODUCT(C160,COMPLEX(Ported!C$42,0))))</f>
        <v>5.80199269919157+0.0804714660082051i</v>
      </c>
      <c r="G160" s="30" t="str">
        <f>IMPRODUCT(F160,IMSUB(COMPLEX(1,0),IMDIV(IMPRODUCT(COMPLEX(Ported!C$41,0),E160),IMSUM(COMPLEX(0-(2*PI()*B160)^2*Ported!C$38,0),IMPRODUCT(C160,COMPLEX(0,0)),IMPRODUCT(COMPLEX(Ported!C$41,0),E160)))))</f>
        <v>5.85718090893757+0.0820099280372703i</v>
      </c>
      <c r="H160" s="32" t="str">
        <f>IMDIV(COMPLEX(Ported!C$18,0),IMPRODUCT(D160,IMSUM(COMPLEX(Ported!C$16-(2*PI()*B160)^2*Ported!C$15,0),IMPRODUCT(C160,IMSUM(COMPLEX(Ported!C$17,0),IMDIV(COMPLEX(Ported!C$18^2,0),D160))),IMPRODUCT(COMPLEX(Ported!C$14*Ported!C$41/Ported!C$24,0),G160))))</f>
        <v>-6.80963610228634E-06-1.66805121312652E-06i</v>
      </c>
      <c r="I160" s="27">
        <f t="shared" si="21"/>
        <v>-166.23615703750599</v>
      </c>
      <c r="J160" s="20" t="str">
        <f>IMPRODUCT(IMDIV(IMPRODUCT(COMPLEX(-Ported!C$41,0),F160),IMSUM(IMPRODUCT(COMPLEX(Ported!C$41,0),E160),COMPLEX(Calculations!C$3-(2*PI()*B160)^2*Ported!C$38,0),IMPRODUCT(COMPLEX(Calculations!C$4,0),C160))),H160)</f>
        <v>-3.74667488124916E-07-9.73563529773139E-08i</v>
      </c>
      <c r="K160" s="27">
        <f t="shared" si="22"/>
        <v>-165.43397663642835</v>
      </c>
      <c r="L160" s="40" t="str">
        <f>IMSUM(IMPRODUCT(COMPLEX(-(Ported!C$14/Ported!C$24),0),H160),IMDIV(IMPRODUCT(COMPLEX(-Ported!C$41,0),J160),IMSUM(COMPLEX(Ported!C$41,0),IMPRODUCT(COMPLEX(Ported!C$42,0),C160))),IMDIV(IMPRODUCT(COMPLEX(Ported!C$42*Ported!C$14/Ported!C$24,0),C160,H160),IMSUM(COMPLEX(Ported!C$41,0),IMPRODUCT(COMPLEX(Ported!C$42,0),C160))))</f>
        <v>1.43252919380909E-07-0.0000005512964468124i</v>
      </c>
      <c r="M160" s="28">
        <f t="shared" si="23"/>
        <v>-75.433976636428554</v>
      </c>
      <c r="N160" s="39" t="str">
        <f>IMPRODUCT(COMPLEX((Ported!C$10*Ported!C$14)/(2*PI()),0),C160,C160,H160)</f>
        <v>0.110178089373031+0.0269886221345867i</v>
      </c>
      <c r="O160" s="28">
        <f t="shared" si="24"/>
        <v>13.763842962493943</v>
      </c>
      <c r="P160" s="26" t="str">
        <f>IMPRODUCT(COMPLEX((Ported!C$10*Ported!C$24)/(2*PI()),0),C160,C160,J160)</f>
        <v>0.00104461588941558+0.000271440668003054i</v>
      </c>
      <c r="Q160" s="23">
        <f t="shared" si="25"/>
        <v>14.566023363571574</v>
      </c>
      <c r="R160" s="41" t="str">
        <f>IMPRODUCT(COMPLEX((Ported!C$10*Ported!C$24)/(2*PI()),0),C160,C160,L160)</f>
        <v>-0.000399405554347363+0.00153707766585441i</v>
      </c>
      <c r="S160" s="33">
        <f t="shared" si="26"/>
        <v>104.56602336357147</v>
      </c>
      <c r="T160" s="38">
        <f>IMABS(IMDIV(D160,IMSUB(COMPLEX(1,0),IMPRODUCT(COMPLEX(Ported!C$18,0),IMPRODUCT(C160,H160)))))</f>
        <v>6.1739844452341615</v>
      </c>
      <c r="U160" s="21">
        <f>20*LOG10(Ported!C$29*50000*IMABS(N160))</f>
        <v>104.90160850587118</v>
      </c>
      <c r="V160" s="22">
        <f>20*LOG10(Ported!C$29*50000*IMABS(P160))</f>
        <v>64.469529336316469</v>
      </c>
      <c r="W160" s="22">
        <f>20*LOG10(Ported!C$29*50000*IMABS(R160))</f>
        <v>67.824313030135087</v>
      </c>
      <c r="X160" s="28">
        <f>1000*Ported!C$29*IMABS(H160)</f>
        <v>0.21733971262993462</v>
      </c>
      <c r="Y160" s="28">
        <f>1000*Ported!C$29*IMABS(J160)</f>
        <v>1.2000403354224606E-2</v>
      </c>
      <c r="Z160" s="28">
        <f>Ported!C$29*IMABS(IMPRODUCT(C160,J160))</f>
        <v>2.3298834232967219E-2</v>
      </c>
      <c r="AA160" s="28">
        <f>1000*Ported!C$29*IMABS(L160)</f>
        <v>1.7657736364074091E-2</v>
      </c>
      <c r="AB160" s="41" t="str">
        <f t="shared" si="27"/>
        <v>0.110823299708099+0.0287971404684442i</v>
      </c>
      <c r="AC160" s="28">
        <f>20*LOG10(Ported!C$29*50000*IMABS(AB160))</f>
        <v>104.98301832452336</v>
      </c>
      <c r="AD160" s="28">
        <f t="shared" si="28"/>
        <v>177480.61143483949</v>
      </c>
      <c r="AE160" s="23">
        <f t="shared" si="29"/>
        <v>14.566023363571661</v>
      </c>
      <c r="AG160" s="64"/>
      <c r="AH160" s="1"/>
      <c r="AI160" s="1"/>
      <c r="AJ160" s="1"/>
      <c r="AK160" s="2"/>
      <c r="AL160" s="2"/>
      <c r="AM160" s="2"/>
      <c r="AN160" s="2"/>
      <c r="AO160" s="2"/>
      <c r="AP160" s="2"/>
      <c r="AQ160" s="3"/>
      <c r="AR160" s="3"/>
      <c r="AS160" s="2"/>
      <c r="AT160" s="8"/>
      <c r="AU160" s="8"/>
    </row>
    <row r="161" spans="2:47" x14ac:dyDescent="0.25">
      <c r="B161" s="25">
        <v>316</v>
      </c>
      <c r="C161" s="17" t="str">
        <f t="shared" si="20"/>
        <v>1985.48655706875i</v>
      </c>
      <c r="D161" s="18" t="str">
        <f>COMPLEX(Ported!C$19,2*PI()*B161*Ported!C$20)</f>
        <v>6</v>
      </c>
      <c r="E161" s="19" t="str">
        <f>IMSUB(COMPLEX(1,0),IMDIV(COMPLEX(Ported!C$41,0),IMSUM(COMPLEX(Ported!C$41,0),IMPRODUCT(C161,COMPLEX(Ported!C$42,0)))))</f>
        <v>0.999816095486493+0.013559892795929i</v>
      </c>
      <c r="F161" s="19" t="str">
        <f>IMDIV(IMPRODUCT(C161,COMPLEX((Ported!C$42*Ported!C$14/Ported!C$24),0)),IMSUM(COMPLEX(Ported!C$41,0),IMPRODUCT(C161,COMPLEX(Ported!C$42,0))))</f>
        <v>5.80204159038795+0.0786895333235258i</v>
      </c>
      <c r="G161" s="30" t="str">
        <f>IMPRODUCT(F161,IMSUB(COMPLEX(1,0),IMDIV(IMPRODUCT(COMPLEX(Ported!C$41,0),E161),IMSUM(COMPLEX(0-(2*PI()*B161)^2*Ported!C$38,0),IMPRODUCT(C161,COMPLEX(0,0)),IMPRODUCT(COMPLEX(Ported!C$41,0),E161)))))</f>
        <v>5.85479120150131+0.0801271280601373i</v>
      </c>
      <c r="H161" s="32" t="str">
        <f>IMDIV(COMPLEX(Ported!C$18,0),IMPRODUCT(D161,IMSUM(COMPLEX(Ported!C$16-(2*PI()*B161)^2*Ported!C$15,0),IMPRODUCT(C161,IMSUM(COMPLEX(Ported!C$17,0),IMDIV(COMPLEX(Ported!C$18^2,0),D161))),IMPRODUCT(COMPLEX(Ported!C$14*Ported!C$41/Ported!C$24,0),G161))))</f>
        <v>-0.000006522393711552-1.56088844370342E-06i</v>
      </c>
      <c r="I161" s="27">
        <f t="shared" si="21"/>
        <v>-166.54153383083917</v>
      </c>
      <c r="J161" s="20" t="str">
        <f>IMPRODUCT(IMDIV(IMPRODUCT(COMPLEX(-Ported!C$41,0),F161),IMSUM(IMPRODUCT(COMPLEX(Ported!C$41,0),E161),COMPLEX(Calculations!C$3-(2*PI()*B161)^2*Ported!C$38,0),IMPRODUCT(COMPLEX(Calculations!C$4,0),C161))),H161)</f>
        <v>-3.43053651520344E-07-8.70770603931026E-08i</v>
      </c>
      <c r="K161" s="27">
        <f t="shared" si="22"/>
        <v>-165.75744785587628</v>
      </c>
      <c r="L161" s="40" t="str">
        <f>IMSUM(IMPRODUCT(COMPLEX(-(Ported!C$14/Ported!C$24),0),H161),IMDIV(IMPRODUCT(COMPLEX(-Ported!C$41,0),J161),IMSUM(COMPLEX(Ported!C$41,0),IMPRODUCT(COMPLEX(Ported!C$42,0),C161))),IMDIV(IMPRODUCT(COMPLEX(Ported!C$42*Ported!C$14/Ported!C$24,0),C161,H161),IMSUM(COMPLEX(Ported!C$41,0),IMPRODUCT(COMPLEX(Ported!C$42,0),C161))))</f>
        <v>1.31030243258103E-07-5.16214066097298E-07i</v>
      </c>
      <c r="M161" s="28">
        <f t="shared" si="23"/>
        <v>-75.757447855886113</v>
      </c>
      <c r="N161" s="39" t="str">
        <f>IMPRODUCT(COMPLEX((Ported!C$10*Ported!C$14)/(2*PI()),0),C161,C161,H161)</f>
        <v>0.110366062710634+0.0264119462087921i</v>
      </c>
      <c r="O161" s="28">
        <f t="shared" si="24"/>
        <v>13.458466169160808</v>
      </c>
      <c r="P161" s="26" t="str">
        <f>IMPRODUCT(COMPLEX((Ported!C$10*Ported!C$24)/(2*PI()),0),C161,C161,J161)</f>
        <v>0.00100029908507767+0.000253905193710809i</v>
      </c>
      <c r="Q161" s="23">
        <f t="shared" si="25"/>
        <v>14.242552144123678</v>
      </c>
      <c r="R161" s="41" t="str">
        <f>IMPRODUCT(COMPLEX((Ported!C$10*Ported!C$24)/(2*PI()),0),C161,C161,L161)</f>
        <v>-0.000382066862916956+0.00150521195659311i</v>
      </c>
      <c r="S161" s="33">
        <f t="shared" si="26"/>
        <v>104.24255214411392</v>
      </c>
      <c r="T161" s="38">
        <f>IMABS(IMDIV(D161,IMSUB(COMPLEX(1,0),IMPRODUCT(COMPLEX(Ported!C$18,0),IMPRODUCT(C161,H161)))))</f>
        <v>6.1661775758287529</v>
      </c>
      <c r="U161" s="21">
        <f>20*LOG10(Ported!C$29*50000*IMABS(N161))</f>
        <v>104.90520541370205</v>
      </c>
      <c r="V161" s="22">
        <f>20*LOG10(Ported!C$29*50000*IMABS(P161))</f>
        <v>64.080399609365074</v>
      </c>
      <c r="W161" s="22">
        <f>20*LOG10(Ported!C$29*50000*IMABS(R161))</f>
        <v>67.629755367054656</v>
      </c>
      <c r="X161" s="28">
        <f>1000*Ported!C$29*IMABS(H161)</f>
        <v>0.20790346499314277</v>
      </c>
      <c r="Y161" s="28">
        <f>1000*Ported!C$29*IMABS(J161)</f>
        <v>1.097190783773214E-2</v>
      </c>
      <c r="Z161" s="28">
        <f>Ported!C$29*IMABS(IMPRODUCT(C161,J161))</f>
        <v>2.1784575517214435E-2</v>
      </c>
      <c r="AA161" s="28">
        <f>1000*Ported!C$29*IMABS(L161)</f>
        <v>1.6510108936777759E-2</v>
      </c>
      <c r="AB161" s="41" t="str">
        <f t="shared" si="27"/>
        <v>0.110984294932795+0.028171063359096i</v>
      </c>
      <c r="AC161" s="28">
        <f>20*LOG10(Ported!C$29*50000*IMABS(AB161))</f>
        <v>104.98303272531471</v>
      </c>
      <c r="AD161" s="28">
        <f t="shared" si="28"/>
        <v>177480.90568948456</v>
      </c>
      <c r="AE161" s="23">
        <f t="shared" si="29"/>
        <v>14.242552144123643</v>
      </c>
      <c r="AG161" s="64"/>
      <c r="AH161" s="1"/>
      <c r="AI161" s="1"/>
      <c r="AJ161" s="1"/>
      <c r="AK161" s="2"/>
      <c r="AL161" s="2"/>
      <c r="AM161" s="2"/>
      <c r="AN161" s="2"/>
      <c r="AO161" s="2"/>
      <c r="AP161" s="2"/>
      <c r="AQ161" s="3"/>
      <c r="AR161" s="3"/>
      <c r="AS161" s="2"/>
      <c r="AT161" s="8"/>
      <c r="AU161" s="8"/>
    </row>
    <row r="162" spans="2:47" x14ac:dyDescent="0.25">
      <c r="B162" s="25">
        <v>324</v>
      </c>
      <c r="C162" s="17" t="str">
        <f t="shared" si="20"/>
        <v>2035.75203952619i</v>
      </c>
      <c r="D162" s="18" t="str">
        <f>COMPLEX(Ported!C$19,2*PI()*B162*Ported!C$20)</f>
        <v>6</v>
      </c>
      <c r="E162" s="19" t="str">
        <f>IMSUB(COMPLEX(1,0),IMDIV(COMPLEX(Ported!C$41,0),IMSUM(COMPLEX(Ported!C$41,0),IMPRODUCT(C162,COMPLEX(Ported!C$42,0)))))</f>
        <v>0.999825063501949+0.0132251992526713i</v>
      </c>
      <c r="F162" s="19" t="str">
        <f>IMDIV(IMPRODUCT(C162,COMPLEX((Ported!C$42*Ported!C$14/Ported!C$24),0)),IMSUM(COMPLEX(Ported!C$41,0),IMPRODUCT(C162,COMPLEX(Ported!C$42,0))))</f>
        <v>5.80209363275743+0.0767472702745693i</v>
      </c>
      <c r="G162" s="30" t="str">
        <f>IMPRODUCT(F162,IMSUB(COMPLEX(1,0),IMDIV(IMPRODUCT(COMPLEX(Ported!C$41,0),E162),IMSUM(COMPLEX(0-(2*PI()*B162)^2*Ported!C$38,0),IMPRODUCT(C162,COMPLEX(0,0)),IMPRODUCT(COMPLEX(Ported!C$41,0),E162)))))</f>
        <v>5.85224961023541+0.0780801203124753i</v>
      </c>
      <c r="H162" s="32" t="str">
        <f>IMDIV(COMPLEX(Ported!C$18,0),IMPRODUCT(D162,IMSUM(COMPLEX(Ported!C$16-(2*PI()*B162)^2*Ported!C$15,0),IMPRODUCT(C162,IMSUM(COMPLEX(Ported!C$17,0),IMDIV(COMPLEX(Ported!C$18^2,0),D162))),IMPRODUCT(COMPLEX(Ported!C$14*Ported!C$41/Ported!C$24,0),G162))))</f>
        <v>-6.21553432940164E-06-0.0000014493346731432i</v>
      </c>
      <c r="I162" s="27">
        <f t="shared" si="21"/>
        <v>-166.87434137688413</v>
      </c>
      <c r="J162" s="20" t="str">
        <f>IMPRODUCT(IMDIV(IMPRODUCT(COMPLEX(-Ported!C$41,0),F162),IMSUM(IMPRODUCT(COMPLEX(Ported!C$41,0),E162),COMPLEX(Calculations!C$3-(2*PI()*B162)^2*Ported!C$38,0),IMPRODUCT(COMPLEX(Calculations!C$4,0),C162))),H162)</f>
        <v>-0.0000003108855806841-7.68790976015856E-08i</v>
      </c>
      <c r="K162" s="27">
        <f t="shared" si="22"/>
        <v>-166.10995225518079</v>
      </c>
      <c r="L162" s="40" t="str">
        <f>IMSUM(IMPRODUCT(COMPLEX(-(Ported!C$14/Ported!C$24),0),H162),IMDIV(IMPRODUCT(COMPLEX(-Ported!C$41,0),J162),IMSUM(COMPLEX(Ported!C$41,0),IMPRODUCT(COMPLEX(Ported!C$42,0),C162))),IMDIV(IMPRODUCT(COMPLEX(Ported!C$42*Ported!C$14/Ported!C$24,0),C162,H162),IMSUM(COMPLEX(Ported!C$41,0),IMPRODUCT(COMPLEX(Ported!C$42,0),C162))))</f>
        <v>1.18613464870931E-07-4.79652038769781E-07i</v>
      </c>
      <c r="M162" s="28">
        <f t="shared" si="23"/>
        <v>-76.109952255191303</v>
      </c>
      <c r="N162" s="39" t="str">
        <f>IMPRODUCT(COMPLEX((Ported!C$10*Ported!C$14)/(2*PI()),0),C162,C162,H162)</f>
        <v>0.110566322132528+0.0257817905679591i</v>
      </c>
      <c r="O162" s="28">
        <f t="shared" si="24"/>
        <v>13.125658623115866</v>
      </c>
      <c r="P162" s="26" t="str">
        <f>IMPRODUCT(COMPLEX((Ported!C$10*Ported!C$24)/(2*PI()),0),C162,C162,J162)</f>
        <v>0.000952981038781533+0.000235663301371935i</v>
      </c>
      <c r="Q162" s="23">
        <f t="shared" si="25"/>
        <v>13.890047744819233</v>
      </c>
      <c r="R162" s="41" t="str">
        <f>IMPRODUCT(COMPLEX((Ported!C$10*Ported!C$24)/(2*PI()),0),C162,C162,L162)</f>
        <v>-0.000363594807830719+0.00147031360269159i</v>
      </c>
      <c r="S162" s="33">
        <f t="shared" si="26"/>
        <v>103.8900477448087</v>
      </c>
      <c r="T162" s="38">
        <f>IMABS(IMDIV(D162,IMSUB(COMPLEX(1,0),IMPRODUCT(COMPLEX(Ported!C$18,0),IMPRODUCT(C162,H162)))))</f>
        <v>6.1578866198958107</v>
      </c>
      <c r="U162" s="21">
        <f>20*LOG10(Ported!C$29*50000*IMABS(N162))</f>
        <v>104.90903251469521</v>
      </c>
      <c r="V162" s="22">
        <f>20*LOG10(Ported!C$29*50000*IMABS(P162))</f>
        <v>63.646097852174613</v>
      </c>
      <c r="W162" s="22">
        <f>20*LOG10(Ported!C$29*50000*IMABS(R162))</f>
        <v>67.412612161628559</v>
      </c>
      <c r="X162" s="28">
        <f>1000*Ported!C$29*IMABS(H162)</f>
        <v>0.19785053427511973</v>
      </c>
      <c r="Y162" s="28">
        <f>1000*Ported!C$29*IMABS(J162)</f>
        <v>9.9277585873265746E-3</v>
      </c>
      <c r="Z162" s="28">
        <f>Ported!C$29*IMABS(IMPRODUCT(C162,J162))</f>
        <v>2.0210454792073736E-2</v>
      </c>
      <c r="AA162" s="28">
        <f>1000*Ported!C$29*IMABS(L162)</f>
        <v>1.5317113249018301E-2</v>
      </c>
      <c r="AB162" s="41" t="str">
        <f t="shared" si="27"/>
        <v>0.111155708363479+0.0274877674720226i</v>
      </c>
      <c r="AC162" s="28">
        <f>20*LOG10(Ported!C$29*50000*IMABS(AB162))</f>
        <v>104.98304807165268</v>
      </c>
      <c r="AD162" s="28">
        <f t="shared" si="28"/>
        <v>177481.21926523556</v>
      </c>
      <c r="AE162" s="23">
        <f t="shared" si="29"/>
        <v>13.890047744819162</v>
      </c>
      <c r="AG162" s="64"/>
      <c r="AH162" s="1"/>
      <c r="AI162" s="1"/>
      <c r="AJ162" s="1"/>
      <c r="AK162" s="2"/>
      <c r="AL162" s="2"/>
      <c r="AM162" s="2"/>
      <c r="AN162" s="2"/>
      <c r="AO162" s="2"/>
      <c r="AP162" s="2"/>
      <c r="AQ162" s="3"/>
      <c r="AR162" s="3"/>
      <c r="AS162" s="2"/>
      <c r="AT162" s="8"/>
      <c r="AU162" s="8"/>
    </row>
    <row r="163" spans="2:47" x14ac:dyDescent="0.25">
      <c r="B163" s="25">
        <v>331</v>
      </c>
      <c r="C163" s="17" t="str">
        <f t="shared" si="20"/>
        <v>2079.73433667644i</v>
      </c>
      <c r="D163" s="18" t="str">
        <f>COMPLEX(Ported!C$19,2*PI()*B163*Ported!C$20)</f>
        <v>6</v>
      </c>
      <c r="E163" s="19" t="str">
        <f>IMSUB(COMPLEX(1,0),IMDIV(COMPLEX(Ported!C$41,0),IMSUM(COMPLEX(Ported!C$41,0),IMPRODUCT(C163,COMPLEX(Ported!C$42,0)))))</f>
        <v>0.999832383163149+0.0129456070327556i</v>
      </c>
      <c r="F163" s="19" t="str">
        <f>IMDIV(IMPRODUCT(C163,COMPLEX((Ported!C$42*Ported!C$14/Ported!C$24),0)),IMSUM(COMPLEX(Ported!C$41,0),IMPRODUCT(C163,COMPLEX(Ported!C$42,0))))</f>
        <v>5.80213610954781+0.0751247662004468i</v>
      </c>
      <c r="G163" s="30" t="str">
        <f>IMPRODUCT(F163,IMSUB(COMPLEX(1,0),IMDIV(IMPRODUCT(COMPLEX(Ported!C$41,0),E163),IMSUM(COMPLEX(0-(2*PI()*B163)^2*Ported!C$38,0),IMPRODUCT(C163,COMPLEX(0,0)),IMPRODUCT(COMPLEX(Ported!C$41,0),E163)))))</f>
        <v>5.85017680612049+0.076374169842481i</v>
      </c>
      <c r="H163" s="32" t="str">
        <f>IMDIV(COMPLEX(Ported!C$18,0),IMPRODUCT(D163,IMSUM(COMPLEX(Ported!C$16-(2*PI()*B163)^2*Ported!C$15,0),IMPRODUCT(C163,IMSUM(COMPLEX(Ported!C$17,0),IMDIV(COMPLEX(Ported!C$18^2,0),D163))),IMPRODUCT(COMPLEX(Ported!C$14*Ported!C$41/Ported!C$24,0),G163))))</f>
        <v>-5.96423244273027E-06-1.36026055364664E-06i</v>
      </c>
      <c r="I163" s="27">
        <f t="shared" si="21"/>
        <v>-167.1523224074711</v>
      </c>
      <c r="J163" s="20" t="str">
        <f>IMPRODUCT(IMDIV(IMPRODUCT(COMPLEX(-Ported!C$41,0),F163),IMSUM(IMPRODUCT(COMPLEX(Ported!C$41,0),E163),COMPLEX(Calculations!C$3-(2*PI()*B163)^2*Ported!C$38,0),IMPRODUCT(COMPLEX(Calculations!C$4,0),C163))),H163)</f>
        <v>-2.85768959565866E-07-6.91117298902598E-08i</v>
      </c>
      <c r="K163" s="27">
        <f t="shared" si="22"/>
        <v>-166.40436740282698</v>
      </c>
      <c r="L163" s="40" t="str">
        <f>IMSUM(IMPRODUCT(COMPLEX(-(Ported!C$14/Ported!C$24),0),H163),IMDIV(IMPRODUCT(COMPLEX(-Ported!C$41,0),J163),IMSUM(COMPLEX(Ported!C$41,0),IMPRODUCT(COMPLEX(Ported!C$42,0),C163))),IMDIV(IMPRODUCT(COMPLEX(Ported!C$42*Ported!C$14/Ported!C$24,0),C163,H163),IMSUM(COMPLEX(Ported!C$41,0),IMPRODUCT(COMPLEX(Ported!C$42,0),C163))))</f>
        <v>1.08933250445984E-07-4.50426312458595E-07i</v>
      </c>
      <c r="M163" s="28">
        <f t="shared" si="23"/>
        <v>-76.404367402838545</v>
      </c>
      <c r="N163" s="39" t="str">
        <f>IMPRODUCT(COMPLEX((Ported!C$10*Ported!C$14)/(2*PI()),0),C163,C163,H163)</f>
        <v>0.110729903629582+0.0252541331114626i</v>
      </c>
      <c r="O163" s="28">
        <f t="shared" si="24"/>
        <v>12.847677592528866</v>
      </c>
      <c r="P163" s="26" t="str">
        <f>IMPRODUCT(COMPLEX((Ported!C$10*Ported!C$24)/(2*PI()),0),C163,C163,J163)</f>
        <v>0.00091424943608499+0.000221106449682352i</v>
      </c>
      <c r="Q163" s="23">
        <f t="shared" si="25"/>
        <v>13.59563259717301</v>
      </c>
      <c r="R163" s="41" t="str">
        <f>IMPRODUCT(COMPLEX((Ported!C$10*Ported!C$24)/(2*PI()),0),C163,C163,L163)</f>
        <v>-0.000348505880213317+0.00144103125401972i</v>
      </c>
      <c r="S163" s="33">
        <f t="shared" si="26"/>
        <v>103.59563259716153</v>
      </c>
      <c r="T163" s="38">
        <f>IMABS(IMDIV(D163,IMSUB(COMPLEX(1,0),IMPRODUCT(COMPLEX(Ported!C$18,0),IMPRODUCT(C163,H163)))))</f>
        <v>6.1511341157074115</v>
      </c>
      <c r="U163" s="21">
        <f>20*LOG10(Ported!C$29*50000*IMABS(N163))</f>
        <v>104.91215492988883</v>
      </c>
      <c r="V163" s="22">
        <f>20*LOG10(Ported!C$29*50000*IMABS(P163))</f>
        <v>63.274791048367305</v>
      </c>
      <c r="W163" s="22">
        <f>20*LOG10(Ported!C$29*50000*IMABS(R163))</f>
        <v>67.226965029203143</v>
      </c>
      <c r="X163" s="28">
        <f>1000*Ported!C$29*IMABS(H163)</f>
        <v>0.18963887967908674</v>
      </c>
      <c r="Y163" s="28">
        <f>1000*Ported!C$29*IMABS(J163)</f>
        <v>9.1142282509738756E-3</v>
      </c>
      <c r="Z163" s="28">
        <f>Ported!C$29*IMABS(IMPRODUCT(C163,J163))</f>
        <v>1.8955173445856829E-2</v>
      </c>
      <c r="AA163" s="28">
        <f>1000*Ported!C$29*IMABS(L163)</f>
        <v>1.4365759767011006E-2</v>
      </c>
      <c r="AB163" s="41" t="str">
        <f t="shared" si="27"/>
        <v>0.111295647185454+0.0269162708151647i</v>
      </c>
      <c r="AC163" s="28">
        <f>20*LOG10(Ported!C$29*50000*IMABS(AB163))</f>
        <v>104.98306061060964</v>
      </c>
      <c r="AD163" s="28">
        <f t="shared" si="28"/>
        <v>177481.47547744523</v>
      </c>
      <c r="AE163" s="23">
        <f t="shared" si="29"/>
        <v>13.595632597172909</v>
      </c>
      <c r="AG163" s="64"/>
      <c r="AH163" s="1"/>
      <c r="AI163" s="1"/>
      <c r="AJ163" s="1"/>
      <c r="AK163" s="2"/>
      <c r="AL163" s="2"/>
      <c r="AM163" s="2"/>
      <c r="AN163" s="2"/>
      <c r="AO163" s="2"/>
      <c r="AP163" s="2"/>
      <c r="AQ163" s="3"/>
      <c r="AR163" s="3"/>
      <c r="AS163" s="2"/>
      <c r="AT163" s="8"/>
      <c r="AU163" s="8"/>
    </row>
    <row r="164" spans="2:47" x14ac:dyDescent="0.25">
      <c r="B164" s="25">
        <v>339</v>
      </c>
      <c r="C164" s="17" t="str">
        <f t="shared" si="20"/>
        <v>2129.99981913388i</v>
      </c>
      <c r="D164" s="18" t="str">
        <f>COMPLEX(Ported!C$19,2*PI()*B164*Ported!C$20)</f>
        <v>6</v>
      </c>
      <c r="E164" s="19" t="str">
        <f>IMSUB(COMPLEX(1,0),IMDIV(COMPLEX(Ported!C$41,0),IMSUM(COMPLEX(Ported!C$41,0),IMPRODUCT(C164,COMPLEX(Ported!C$42,0)))))</f>
        <v>0.999840199686472+0.0126402048000819i</v>
      </c>
      <c r="F164" s="19" t="str">
        <f>IMDIV(IMPRODUCT(C164,COMPLEX((Ported!C$42*Ported!C$14/Ported!C$24),0)),IMSUM(COMPLEX(Ported!C$41,0),IMPRODUCT(C164,COMPLEX(Ported!C$42,0))))</f>
        <v>5.80218146968316+0.0733524838139466i</v>
      </c>
      <c r="G164" s="30" t="str">
        <f>IMPRODUCT(F164,IMSUB(COMPLEX(1,0),IMDIV(IMPRODUCT(COMPLEX(Ported!C$41,0),E164),IMSUM(COMPLEX(0-(2*PI()*B164)^2*Ported!C$38,0),IMPRODUCT(C164,COMPLEX(0,0)),IMPRODUCT(COMPLEX(Ported!C$41,0),E164)))))</f>
        <v>5.84796491810136+0.0745148490404536i</v>
      </c>
      <c r="H164" s="32" t="str">
        <f>IMDIV(COMPLEX(Ported!C$18,0),IMPRODUCT(D164,IMSUM(COMPLEX(Ported!C$16-(2*PI()*B164)^2*Ported!C$15,0),IMPRODUCT(C164,IMSUM(COMPLEX(Ported!C$17,0),IMDIV(COMPLEX(Ported!C$18^2,0),D164))),IMPRODUCT(COMPLEX(Ported!C$14*Ported!C$41/Ported!C$24,0),G164))))</f>
        <v>-5.69503312407847E-06-1.26715511227642E-06i</v>
      </c>
      <c r="I164" s="27">
        <f t="shared" si="21"/>
        <v>-167.45592847114654</v>
      </c>
      <c r="J164" s="20" t="str">
        <f>IMPRODUCT(IMDIV(IMPRODUCT(COMPLEX(-Ported!C$41,0),F164),IMSUM(IMPRODUCT(COMPLEX(Ported!C$41,0),E164),COMPLEX(Calculations!C$3-(2*PI()*B164)^2*Ported!C$38,0),IMPRODUCT(COMPLEX(Calculations!C$4,0),C164))),H164)</f>
        <v>-2.6008248136216E-07-6.13567481862827E-08i</v>
      </c>
      <c r="K164" s="27">
        <f t="shared" si="22"/>
        <v>-166.72590437118635</v>
      </c>
      <c r="L164" s="40" t="str">
        <f>IMSUM(IMPRODUCT(COMPLEX(-(Ported!C$14/Ported!C$24),0),H164),IMDIV(IMPRODUCT(COMPLEX(-Ported!C$41,0),J164),IMSUM(COMPLEX(Ported!C$41,0),IMPRODUCT(COMPLEX(Ported!C$42,0),C164))),IMDIV(IMPRODUCT(COMPLEX(Ported!C$42*Ported!C$14/Ported!C$24,0),C164,H164),IMSUM(COMPLEX(Ported!C$41,0),IMPRODUCT(COMPLEX(Ported!C$42,0),C164))))</f>
        <v>9.90473220720086E-08-4.19847434198925E-07i</v>
      </c>
      <c r="M164" s="28">
        <f t="shared" si="23"/>
        <v>-76.72590437120391</v>
      </c>
      <c r="N164" s="39" t="str">
        <f>IMPRODUCT(COMPLEX((Ported!C$10*Ported!C$14)/(2*PI()),0),C164,C164,H164)</f>
        <v>0.110904718653998+0.024676499355872i</v>
      </c>
      <c r="O164" s="28">
        <f t="shared" si="24"/>
        <v>12.5440715288535</v>
      </c>
      <c r="P164" s="26" t="str">
        <f>IMPRODUCT(COMPLEX((Ported!C$10*Ported!C$24)/(2*PI()),0),C164,C164,J164)</f>
        <v>0.000872778735155278+0.000205899546923717i</v>
      </c>
      <c r="Q164" s="23">
        <f t="shared" si="25"/>
        <v>13.274095628813665</v>
      </c>
      <c r="R164" s="41" t="str">
        <f>IMPRODUCT(COMPLEX((Ported!C$10*Ported!C$24)/(2*PI()),0),C164,C164,L164)</f>
        <v>-0.000332380697176409+0.00140891424389355i</v>
      </c>
      <c r="S164" s="33">
        <f t="shared" si="26"/>
        <v>103.27409562879612</v>
      </c>
      <c r="T164" s="38">
        <f>IMABS(IMDIV(D164,IMSUB(COMPLEX(1,0),IMPRODUCT(COMPLEX(Ported!C$18,0),IMPRODUCT(C164,H164)))))</f>
        <v>6.1439376368792411</v>
      </c>
      <c r="U164" s="21">
        <f>20*LOG10(Ported!C$29*50000*IMABS(N164))</f>
        <v>104.9154880561149</v>
      </c>
      <c r="V164" s="22">
        <f>20*LOG10(Ported!C$29*50000*IMABS(P164))</f>
        <v>62.859936274658885</v>
      </c>
      <c r="W164" s="22">
        <f>20*LOG10(Ported!C$29*50000*IMABS(R164))</f>
        <v>67.019544344041705</v>
      </c>
      <c r="X164" s="28">
        <f>1000*Ported!C$29*IMABS(H164)</f>
        <v>0.18086337405004202</v>
      </c>
      <c r="Y164" s="28">
        <f>1000*Ported!C$29*IMABS(J164)</f>
        <v>8.2838791215693736E-3</v>
      </c>
      <c r="Z164" s="28">
        <f>Ported!C$29*IMABS(IMPRODUCT(C164,J164))</f>
        <v>1.7644661030669702E-2</v>
      </c>
      <c r="AA164" s="28">
        <f>1000*Ported!C$29*IMABS(L164)</f>
        <v>1.3372547724818469E-2</v>
      </c>
      <c r="AB164" s="41" t="str">
        <f t="shared" si="27"/>
        <v>0.111445116691977+0.0262913131466893i</v>
      </c>
      <c r="AC164" s="28">
        <f>20*LOG10(Ported!C$29*50000*IMABS(AB164))</f>
        <v>104.98307401399565</v>
      </c>
      <c r="AD164" s="28">
        <f t="shared" si="28"/>
        <v>177481.74935319787</v>
      </c>
      <c r="AE164" s="23">
        <f t="shared" si="29"/>
        <v>13.274095628813654</v>
      </c>
      <c r="AG164" s="64"/>
      <c r="AH164" s="1"/>
      <c r="AI164" s="1"/>
      <c r="AJ164" s="1"/>
      <c r="AK164" s="2"/>
      <c r="AL164" s="2"/>
      <c r="AM164" s="2"/>
      <c r="AN164" s="2"/>
      <c r="AO164" s="2"/>
      <c r="AP164" s="2"/>
      <c r="AQ164" s="3"/>
      <c r="AR164" s="3"/>
      <c r="AS164" s="2"/>
      <c r="AT164" s="8"/>
      <c r="AU164" s="8"/>
    </row>
    <row r="165" spans="2:47" x14ac:dyDescent="0.25">
      <c r="B165" s="25">
        <v>347</v>
      </c>
      <c r="C165" s="17" t="str">
        <f t="shared" si="20"/>
        <v>2180.26530159132i</v>
      </c>
      <c r="D165" s="18" t="str">
        <f>COMPLEX(Ported!C$19,2*PI()*B165*Ported!C$20)</f>
        <v>6</v>
      </c>
      <c r="E165" s="19" t="str">
        <f>IMSUB(COMPLEX(1,0),IMDIV(COMPLEX(Ported!C$41,0),IMSUM(COMPLEX(Ported!C$41,0),IMPRODUCT(C165,COMPLEX(Ported!C$42,0)))))</f>
        <v>0.999847481952455+0.012348877916251i</v>
      </c>
      <c r="F165" s="19" t="str">
        <f>IMDIV(IMPRODUCT(C165,COMPLEX((Ported!C$42*Ported!C$14/Ported!C$24),0)),IMSUM(COMPLEX(Ported!C$41,0),IMPRODUCT(C165,COMPLEX(Ported!C$42,0))))</f>
        <v>5.80222372946502+0.0716618822082959i</v>
      </c>
      <c r="G165" s="30" t="str">
        <f>IMPRODUCT(F165,IMSUB(COMPLEX(1,0),IMDIV(IMPRODUCT(COMPLEX(Ported!C$41,0),E165),IMSUM(COMPLEX(0-(2*PI()*B165)^2*Ported!C$38,0),IMPRODUCT(C165,COMPLEX(0,0)),IMPRODUCT(COMPLEX(Ported!C$41,0),E165)))))</f>
        <v>5.84590571510982+0.0727451231937024i</v>
      </c>
      <c r="H165" s="32" t="str">
        <f>IMDIV(COMPLEX(Ported!C$18,0),IMPRODUCT(D165,IMSUM(COMPLEX(Ported!C$16-(2*PI()*B165)^2*Ported!C$15,0),IMPRODUCT(C165,IMSUM(COMPLEX(Ported!C$17,0),IMDIV(COMPLEX(Ported!C$18^2,0),D165))),IMPRODUCT(COMPLEX(Ported!C$14*Ported!C$41/Ported!C$24,0),G165))))</f>
        <v>-5.44345299391342E-06-1.18233644347908E-06i</v>
      </c>
      <c r="I165" s="27">
        <f t="shared" si="21"/>
        <v>-167.7455075112639</v>
      </c>
      <c r="J165" s="20" t="str">
        <f>IMPRODUCT(IMDIV(IMPRODUCT(COMPLEX(-Ported!C$41,0),F165),IMSUM(IMPRODUCT(COMPLEX(Ported!C$41,0),E165),COMPLEX(Calculations!C$3-(2*PI()*B165)^2*Ported!C$38,0),IMPRODUCT(COMPLEX(Calculations!C$4,0),C165))),H165)</f>
        <v>-2.37210784751402E-07-5.46224188198764E-08i</v>
      </c>
      <c r="K165" s="27">
        <f t="shared" si="22"/>
        <v>-167.03256863950079</v>
      </c>
      <c r="L165" s="40" t="str">
        <f>IMSUM(IMPRODUCT(COMPLEX(-(Ported!C$14/Ported!C$24),0),H165),IMDIV(IMPRODUCT(COMPLEX(-Ported!C$41,0),J165),IMSUM(COMPLEX(Ported!C$41,0),IMPRODUCT(COMPLEX(Ported!C$42,0),C165))),IMDIV(IMPRODUCT(COMPLEX(Ported!C$42*Ported!C$14/Ported!C$24,0),C165,H165),IMSUM(COMPLEX(Ported!C$41,0),IMPRODUCT(COMPLEX(Ported!C$42,0),C165))))</f>
        <v>9.0257044430941E-08-3.91962582422572E-07i</v>
      </c>
      <c r="M165" s="28">
        <f t="shared" si="23"/>
        <v>-77.032568639501022</v>
      </c>
      <c r="N165" s="39" t="str">
        <f>IMPRODUCT(COMPLEX((Ported!C$10*Ported!C$14)/(2*PI()),0),C165,C165,H165)</f>
        <v>0.111067705533002+0.0241242821591564i</v>
      </c>
      <c r="O165" s="28">
        <f t="shared" si="24"/>
        <v>12.254492488736153</v>
      </c>
      <c r="P165" s="26" t="str">
        <f>IMPRODUCT(COMPLEX((Ported!C$10*Ported!C$24)/(2*PI()),0),C165,C165,J165)</f>
        <v>0.000834040307647637+0.000192054079854472i</v>
      </c>
      <c r="Q165" s="23">
        <f t="shared" si="25"/>
        <v>12.967431360499184</v>
      </c>
      <c r="R165" s="41" t="str">
        <f>IMPRODUCT(COMPLEX((Ported!C$10*Ported!C$24)/(2*PI()),0),C165,C165,L165)</f>
        <v>-0.000317346503378589+0.00137815231787497i</v>
      </c>
      <c r="S165" s="33">
        <f t="shared" si="26"/>
        <v>102.96743136049895</v>
      </c>
      <c r="T165" s="38">
        <f>IMABS(IMDIV(D165,IMSUB(COMPLEX(1,0),IMPRODUCT(COMPLEX(Ported!C$18,0),IMPRODUCT(C165,H165)))))</f>
        <v>6.1372463694941404</v>
      </c>
      <c r="U165" s="21">
        <f>20*LOG10(Ported!C$29*50000*IMABS(N165))</f>
        <v>104.91859221249753</v>
      </c>
      <c r="V165" s="22">
        <f>20*LOG10(Ported!C$29*50000*IMABS(P165))</f>
        <v>62.454757710795008</v>
      </c>
      <c r="W165" s="22">
        <f>20*LOG10(Ported!C$29*50000*IMABS(R165))</f>
        <v>66.816961311934492</v>
      </c>
      <c r="X165" s="28">
        <f>1000*Ported!C$29*IMABS(H165)</f>
        <v>0.17268168711240145</v>
      </c>
      <c r="Y165" s="28">
        <f>1000*Ported!C$29*IMABS(J165)</f>
        <v>7.5459734298197528E-3</v>
      </c>
      <c r="Z165" s="28">
        <f>Ported!C$29*IMABS(IMPRODUCT(C165,J165))</f>
        <v>1.6452224035766041E-2</v>
      </c>
      <c r="AA165" s="28">
        <f>1000*Ported!C$29*IMABS(L165)</f>
        <v>1.2468822762607461E-2</v>
      </c>
      <c r="AB165" s="41" t="str">
        <f t="shared" si="27"/>
        <v>0.111584399337271+0.0256944885568858i</v>
      </c>
      <c r="AC165" s="28">
        <f>20*LOG10(Ported!C$29*50000*IMABS(AB165))</f>
        <v>104.98308651364341</v>
      </c>
      <c r="AD165" s="28">
        <f t="shared" si="28"/>
        <v>177482.00476295335</v>
      </c>
      <c r="AE165" s="23">
        <f t="shared" si="29"/>
        <v>12.96743136049929</v>
      </c>
      <c r="AG165" s="64"/>
      <c r="AH165" s="1"/>
      <c r="AI165" s="1"/>
      <c r="AJ165" s="1"/>
      <c r="AK165" s="2"/>
      <c r="AL165" s="2"/>
      <c r="AM165" s="2"/>
      <c r="AN165" s="2"/>
      <c r="AO165" s="2"/>
      <c r="AP165" s="2"/>
      <c r="AQ165" s="3"/>
      <c r="AR165" s="3"/>
      <c r="AS165" s="2"/>
      <c r="AT165" s="8"/>
      <c r="AU165" s="8"/>
    </row>
    <row r="166" spans="2:47" x14ac:dyDescent="0.25">
      <c r="B166" s="25">
        <v>355</v>
      </c>
      <c r="C166" s="17" t="str">
        <f t="shared" si="20"/>
        <v>2230.53078404875i</v>
      </c>
      <c r="D166" s="18" t="str">
        <f>COMPLEX(Ported!C$19,2*PI()*B166*Ported!C$20)</f>
        <v>6</v>
      </c>
      <c r="E166" s="19" t="str">
        <f>IMSUB(COMPLEX(1,0),IMDIV(COMPLEX(Ported!C$41,0),IMSUM(COMPLEX(Ported!C$41,0),IMPRODUCT(C166,COMPLEX(Ported!C$42,0)))))</f>
        <v>0.999854277560768+0.0120706753830274i</v>
      </c>
      <c r="F166" s="19" t="str">
        <f>IMDIV(IMPRODUCT(C166,COMPLEX((Ported!C$42*Ported!C$14/Ported!C$24),0)),IMSUM(COMPLEX(Ported!C$41,0),IMPRODUCT(C166,COMPLEX(Ported!C$42,0))))</f>
        <v>5.80226316511949+0.0700474426372577i</v>
      </c>
      <c r="G166" s="30" t="str">
        <f>IMPRODUCT(F166,IMSUB(COMPLEX(1,0),IMDIV(IMPRODUCT(COMPLEX(Ported!C$41,0),E166),IMSUM(COMPLEX(0-(2*PI()*B166)^2*Ported!C$38,0),IMPRODUCT(C166,COMPLEX(0,0)),IMPRODUCT(COMPLEX(Ported!C$41,0),E166)))))</f>
        <v>5.84398543050287+0.071058592647188i</v>
      </c>
      <c r="H166" s="32" t="str">
        <f>IMDIV(COMPLEX(Ported!C$18,0),IMPRODUCT(D166,IMSUM(COMPLEX(Ported!C$16-(2*PI()*B166)^2*Ported!C$15,0),IMPRODUCT(C166,IMSUM(COMPLEX(Ported!C$17,0),IMDIV(COMPLEX(Ported!C$18^2,0),D166))),IMPRODUCT(COMPLEX(Ported!C$14*Ported!C$41/Ported!C$24,0),G166))))</f>
        <v>-5.20800557761755E-06-1.10490487414403E-06i</v>
      </c>
      <c r="I166" s="27">
        <f t="shared" si="21"/>
        <v>-168.02201027563106</v>
      </c>
      <c r="J166" s="20" t="str">
        <f>IMPRODUCT(IMDIV(IMPRODUCT(COMPLEX(-Ported!C$41,0),F166),IMSUM(IMPRODUCT(COMPLEX(Ported!C$41,0),E166),COMPLEX(Calculations!C$3-(2*PI()*B166)^2*Ported!C$38,0),IMPRODUCT(COMPLEX(Calculations!C$4,0),C166))),H166)</f>
        <v>-2.16792669382963E-07-4.87554801038695E-08i</v>
      </c>
      <c r="K166" s="27">
        <f t="shared" si="22"/>
        <v>-167.32536979356391</v>
      </c>
      <c r="L166" s="40" t="str">
        <f>IMSUM(IMPRODUCT(COMPLEX(-(Ported!C$14/Ported!C$24),0),H166),IMDIV(IMPRODUCT(COMPLEX(-Ported!C$41,0),J166),IMSUM(COMPLEX(Ported!C$41,0),IMPRODUCT(COMPLEX(Ported!C$42,0),C166))),IMDIV(IMPRODUCT(COMPLEX(Ported!C$42*Ported!C$14/Ported!C$24,0),C166,H166),IMSUM(COMPLEX(Ported!C$41,0),IMPRODUCT(COMPLEX(Ported!C$42,0),C166))))</f>
        <v>8.24199782707682E-08-3.66482845861685E-07i</v>
      </c>
      <c r="M166" s="28">
        <f t="shared" si="23"/>
        <v>-77.325369793572975</v>
      </c>
      <c r="N166" s="39" t="str">
        <f>IMPRODUCT(COMPLEX((Ported!C$10*Ported!C$14)/(2*PI()),0),C166,C166,H166)</f>
        <v>0.111219905158399+0.023595868606494i</v>
      </c>
      <c r="O166" s="28">
        <f t="shared" si="24"/>
        <v>11.977989724368921</v>
      </c>
      <c r="P166" s="26" t="str">
        <f>IMPRODUCT(COMPLEX((Ported!C$10*Ported!C$24)/(2*PI()),0),C166,C166,J166)</f>
        <v>0.000797801702884039+0.000179421219188386i</v>
      </c>
      <c r="Q166" s="23">
        <f t="shared" si="25"/>
        <v>12.674630206436078</v>
      </c>
      <c r="R166" s="41" t="str">
        <f>IMPRODUCT(COMPLEX((Ported!C$10*Ported!C$24)/(2*PI()),0),C166,C166,L166)</f>
        <v>-0.00030330729910396+0.00134866478344686i</v>
      </c>
      <c r="S166" s="33">
        <f t="shared" si="26"/>
        <v>102.67463020642703</v>
      </c>
      <c r="T166" s="38">
        <f>IMABS(IMDIV(D166,IMSUB(COMPLEX(1,0),IMPRODUCT(COMPLEX(Ported!C$18,0),IMPRODUCT(C166,H166)))))</f>
        <v>6.1310138340215543</v>
      </c>
      <c r="U166" s="21">
        <f>20*LOG10(Ported!C$29*50000*IMABS(N166))</f>
        <v>104.92148792381997</v>
      </c>
      <c r="V166" s="22">
        <f>20*LOG10(Ported!C$29*50000*IMABS(P166))</f>
        <v>62.058814255353326</v>
      </c>
      <c r="W166" s="22">
        <f>20*LOG10(Ported!C$29*50000*IMABS(R166))</f>
        <v>66.618995421776717</v>
      </c>
      <c r="X166" s="28">
        <f>1000*Ported!C$29*IMABS(H166)</f>
        <v>0.16504155700666434</v>
      </c>
      <c r="Y166" s="28">
        <f>1000*Ported!C$29*IMABS(J166)</f>
        <v>6.8884314733583486E-3</v>
      </c>
      <c r="Z166" s="28">
        <f>Ported!C$29*IMABS(IMPRODUCT(C166,J166))</f>
        <v>1.5364858455136087E-2</v>
      </c>
      <c r="AA166" s="28">
        <f>1000*Ported!C$29*IMABS(L166)</f>
        <v>1.1644729395439E-2</v>
      </c>
      <c r="AB166" s="41" t="str">
        <f t="shared" si="27"/>
        <v>0.111714399562179+0.0251239546091292i</v>
      </c>
      <c r="AC166" s="28">
        <f>20*LOG10(Ported!C$29*50000*IMABS(AB166))</f>
        <v>104.9830981887706</v>
      </c>
      <c r="AD166" s="28">
        <f t="shared" si="28"/>
        <v>177482.24332531777</v>
      </c>
      <c r="AE166" s="23">
        <f t="shared" si="29"/>
        <v>12.67463020643603</v>
      </c>
      <c r="AG166" s="64"/>
      <c r="AH166" s="1"/>
      <c r="AI166" s="1"/>
      <c r="AJ166" s="1"/>
      <c r="AK166" s="2"/>
      <c r="AL166" s="2"/>
      <c r="AM166" s="2"/>
      <c r="AN166" s="2"/>
      <c r="AO166" s="2"/>
      <c r="AP166" s="2"/>
      <c r="AQ166" s="3"/>
      <c r="AR166" s="3"/>
      <c r="AS166" s="2"/>
      <c r="AT166" s="8"/>
      <c r="AU166" s="8"/>
    </row>
    <row r="167" spans="2:47" x14ac:dyDescent="0.25">
      <c r="B167" s="25">
        <v>363</v>
      </c>
      <c r="C167" s="17" t="str">
        <f t="shared" si="20"/>
        <v>2280.79626650619i</v>
      </c>
      <c r="D167" s="18" t="str">
        <f>COMPLEX(Ported!C$19,2*PI()*B167*Ported!C$20)</f>
        <v>6</v>
      </c>
      <c r="E167" s="19" t="str">
        <f>IMSUB(COMPLEX(1,0),IMDIV(COMPLEX(Ported!C$41,0),IMSUM(COMPLEX(Ported!C$41,0),IMPRODUCT(C167,COMPLEX(Ported!C$42,0)))))</f>
        <v>0.999860628925909+0.0118047299755125i</v>
      </c>
      <c r="F167" s="19" t="str">
        <f>IMDIV(IMPRODUCT(C167,COMPLEX((Ported!C$42*Ported!C$14/Ported!C$24),0)),IMSUM(COMPLEX(Ported!C$41,0),IMPRODUCT(C167,COMPLEX(Ported!C$42,0))))</f>
        <v>5.80230002278248+0.0685041325003836i</v>
      </c>
      <c r="G167" s="30" t="str">
        <f>IMPRODUCT(F167,IMSUB(COMPLEX(1,0),IMDIV(IMPRODUCT(COMPLEX(Ported!C$41,0),E167),IMSUM(COMPLEX(0-(2*PI()*B167)^2*Ported!C$38,0),IMPRODUCT(C167,COMPLEX(0,0)),IMPRODUCT(COMPLEX(Ported!C$41,0),E167)))))</f>
        <v>5.84219181810691+0.069449459163836i</v>
      </c>
      <c r="H167" s="32" t="str">
        <f>IMDIV(COMPLEX(Ported!C$18,0),IMPRODUCT(D167,IMSUM(COMPLEX(Ported!C$16-(2*PI()*B167)^2*Ported!C$15,0),IMPRODUCT(C167,IMSUM(COMPLEX(Ported!C$17,0),IMDIV(COMPLEX(Ported!C$18^2,0),D167))),IMPRODUCT(COMPLEX(Ported!C$14*Ported!C$41/Ported!C$24,0),G167))))</f>
        <v>-4.98735589451965E-06-1.03407517353768E-06i</v>
      </c>
      <c r="I167" s="27">
        <f t="shared" si="21"/>
        <v>-168.28630343783732</v>
      </c>
      <c r="J167" s="20" t="str">
        <f>IMPRODUCT(IMDIV(IMPRODUCT(COMPLEX(-Ported!C$41,0),F167),IMSUM(IMPRODUCT(COMPLEX(Ported!C$41,0),E167),COMPLEX(Calculations!C$3-(2*PI()*B167)^2*Ported!C$38,0),IMPRODUCT(COMPLEX(Calculations!C$4,0),C167))),H167)</f>
        <v>-1.98519731161894E-07-4.36284043964294E-08i</v>
      </c>
      <c r="K167" s="27">
        <f t="shared" si="22"/>
        <v>-167.60522797816705</v>
      </c>
      <c r="L167" s="40" t="str">
        <f>IMSUM(IMPRODUCT(COMPLEX(-(Ported!C$14/Ported!C$24),0),H167),IMDIV(IMPRODUCT(COMPLEX(-Ported!C$41,0),J167),IMSUM(COMPLEX(Ported!C$41,0),IMPRODUCT(COMPLEX(Ported!C$42,0),C167))),IMDIV(IMPRODUCT(COMPLEX(Ported!C$42*Ported!C$14/Ported!C$24,0),C167,H167),IMSUM(COMPLEX(Ported!C$41,0),IMPRODUCT(COMPLEX(Ported!C$42,0),C167))))</f>
        <v>7.54148133137219E-08-3.43155535294145E-07i</v>
      </c>
      <c r="M167" s="28">
        <f t="shared" si="23"/>
        <v>-77.605227978184459</v>
      </c>
      <c r="N167" s="39" t="str">
        <f>IMPRODUCT(COMPLEX((Ported!C$10*Ported!C$14)/(2*PI()),0),C167,C167,H167)</f>
        <v>0.111362246666726+0.0230897768242248i</v>
      </c>
      <c r="O167" s="28">
        <f t="shared" si="24"/>
        <v>11.713696562162701</v>
      </c>
      <c r="P167" s="26" t="str">
        <f>IMPRODUCT(COMPLEX((Ported!C$10*Ported!C$24)/(2*PI()),0),C167,C167,J167)</f>
        <v>0.000763854406688596+0.000167871217434943i</v>
      </c>
      <c r="Q167" s="23">
        <f t="shared" si="25"/>
        <v>12.394772021832944</v>
      </c>
      <c r="R167" s="41" t="str">
        <f>IMPRODUCT(COMPLEX((Ported!C$10*Ported!C$24)/(2*PI()),0),C167,C167,L167)</f>
        <v>-0.000290177390137136+0.00132037690299034i</v>
      </c>
      <c r="S167" s="33">
        <f t="shared" si="26"/>
        <v>102.39477202181556</v>
      </c>
      <c r="T167" s="38">
        <f>IMABS(IMDIV(D167,IMSUB(COMPLEX(1,0),IMPRODUCT(COMPLEX(Ported!C$18,0),IMPRODUCT(C167,H167)))))</f>
        <v>6.1251988043757111</v>
      </c>
      <c r="U167" s="21">
        <f>20*LOG10(Ported!C$29*50000*IMABS(N167))</f>
        <v>104.9241934631622</v>
      </c>
      <c r="V167" s="22">
        <f>20*LOG10(Ported!C$29*50000*IMABS(P167))</f>
        <v>61.671694297466189</v>
      </c>
      <c r="W167" s="22">
        <f>20*LOG10(Ported!C$29*50000*IMABS(R167))</f>
        <v>66.425440903509823</v>
      </c>
      <c r="X167" s="28">
        <f>1000*Ported!C$29*IMABS(H167)</f>
        <v>0.15789633340291639</v>
      </c>
      <c r="Y167" s="28">
        <f>1000*Ported!C$29*IMABS(J167)</f>
        <v>6.300975638650657E-3</v>
      </c>
      <c r="Z167" s="28">
        <f>Ported!C$29*IMABS(IMPRODUCT(C167,J167))</f>
        <v>1.4371241711980863E-2</v>
      </c>
      <c r="AA167" s="28">
        <f>1000*Ported!C$29*IMABS(L167)</f>
        <v>1.0891686461095852E-2</v>
      </c>
      <c r="AB167" s="41" t="str">
        <f t="shared" si="27"/>
        <v>0.111835923683277+0.0245780249446501i</v>
      </c>
      <c r="AC167" s="28">
        <f>20*LOG10(Ported!C$29*50000*IMABS(AB167))</f>
        <v>104.98310911012418</v>
      </c>
      <c r="AD167" s="28">
        <f t="shared" si="28"/>
        <v>177482.46648582685</v>
      </c>
      <c r="AE167" s="23">
        <f t="shared" si="29"/>
        <v>12.394772021833029</v>
      </c>
      <c r="AG167" s="64"/>
      <c r="AH167" s="1"/>
      <c r="AI167" s="1"/>
      <c r="AJ167" s="1"/>
      <c r="AK167" s="2"/>
      <c r="AL167" s="2"/>
      <c r="AM167" s="2"/>
      <c r="AN167" s="2"/>
      <c r="AO167" s="2"/>
      <c r="AP167" s="2"/>
      <c r="AQ167" s="3"/>
      <c r="AR167" s="3"/>
      <c r="AS167" s="2"/>
      <c r="AT167" s="8"/>
      <c r="AU167" s="8"/>
    </row>
    <row r="168" spans="2:47" x14ac:dyDescent="0.25">
      <c r="B168" s="25">
        <v>372</v>
      </c>
      <c r="C168" s="17" t="str">
        <f t="shared" si="20"/>
        <v>2337.34493427081i</v>
      </c>
      <c r="D168" s="18" t="str">
        <f>COMPLEX(Ported!C$19,2*PI()*B168*Ported!C$20)</f>
        <v>6</v>
      </c>
      <c r="E168" s="19" t="str">
        <f>IMSUB(COMPLEX(1,0),IMDIV(COMPLEX(Ported!C$41,0),IMSUM(COMPLEX(Ported!C$41,0),IMPRODUCT(C168,COMPLEX(Ported!C$42,0)))))</f>
        <v>0.99986729022566+0.011519208412738i</v>
      </c>
      <c r="F168" s="19" t="str">
        <f>IMDIV(IMPRODUCT(C168,COMPLEX((Ported!C$42*Ported!C$14/Ported!C$24),0)),IMSUM(COMPLEX(Ported!C$41,0),IMPRODUCT(C168,COMPLEX(Ported!C$42,0))))</f>
        <v>5.80233867902974+0.0668472198044901i</v>
      </c>
      <c r="G168" s="30" t="str">
        <f>IMPRODUCT(F168,IMSUB(COMPLEX(1,0),IMDIV(IMPRODUCT(COMPLEX(Ported!C$41,0),E168),IMSUM(COMPLEX(0-(2*PI()*B168)^2*Ported!C$38,0),IMPRODUCT(C168,COMPLEX(0,0)),IMPRODUCT(COMPLEX(Ported!C$41,0),E168)))))</f>
        <v>5.84031186227367+0.0677251590657553i</v>
      </c>
      <c r="H168" s="32" t="str">
        <f>IMDIV(COMPLEX(Ported!C$18,0),IMPRODUCT(D168,IMSUM(COMPLEX(Ported!C$16-(2*PI()*B168)^2*Ported!C$15,0),IMPRODUCT(C168,IMSUM(COMPLEX(Ported!C$17,0),IMDIV(COMPLEX(Ported!C$18^2,0),D168))),IMPRODUCT(COMPLEX(Ported!C$14*Ported!C$41/Ported!C$24,0),G168))))</f>
        <v>-4.75532175419787E-06-9.61430538357102E-07i</v>
      </c>
      <c r="I168" s="27">
        <f t="shared" si="21"/>
        <v>-168.57002205312034</v>
      </c>
      <c r="J168" s="20" t="str">
        <f>IMPRODUCT(IMDIV(IMPRODUCT(COMPLEX(-Ported!C$41,0),F168),IMSUM(IMPRODUCT(COMPLEX(Ported!C$41,0),E168),COMPLEX(Calculations!C$3-(2*PI()*B168)^2*Ported!C$38,0),IMPRODUCT(COMPLEX(Calculations!C$4,0),C168))),H168)</f>
        <v>-1.80199330214807E-07-3.86128323369603E-08i</v>
      </c>
      <c r="K168" s="27">
        <f t="shared" si="22"/>
        <v>-167.9056411168124</v>
      </c>
      <c r="L168" s="40" t="str">
        <f>IMSUM(IMPRODUCT(COMPLEX(-(Ported!C$14/Ported!C$24),0),H168),IMDIV(IMPRODUCT(COMPLEX(-Ported!C$41,0),J168),IMSUM(COMPLEX(Ported!C$41,0),IMPRODUCT(COMPLEX(Ported!C$42,0),C168))),IMDIV(IMPRODUCT(COMPLEX(Ported!C$42*Ported!C$14/Ported!C$24,0),C168,H168),IMSUM(COMPLEX(Ported!C$41,0),IMPRODUCT(COMPLEX(Ported!C$42,0),C168))))</f>
        <v>6.83998744254454E-08-3.19210242094814E-07i</v>
      </c>
      <c r="M168" s="28">
        <f t="shared" si="23"/>
        <v>-77.905641116817549</v>
      </c>
      <c r="N168" s="39" t="str">
        <f>IMPRODUCT(COMPLEX((Ported!C$10*Ported!C$14)/(2*PI()),0),C168,C168,H168)</f>
        <v>0.111511629169408+0.0225454114794185i</v>
      </c>
      <c r="O168" s="28">
        <f t="shared" si="24"/>
        <v>11.429977946879649</v>
      </c>
      <c r="P168" s="26" t="str">
        <f>IMPRODUCT(COMPLEX((Ported!C$10*Ported!C$24)/(2*PI()),0),C168,C168,J168)</f>
        <v>0.000728169882184748+0.000156031110327143i</v>
      </c>
      <c r="Q168" s="23">
        <f t="shared" si="25"/>
        <v>12.094358883187596</v>
      </c>
      <c r="R168" s="41" t="str">
        <f>IMPRODUCT(COMPLEX((Ported!C$10*Ported!C$24)/(2*PI()),0),C168,C168,L168)</f>
        <v>-0.000276397966865115+0.00128990093415589i</v>
      </c>
      <c r="S168" s="33">
        <f t="shared" si="26"/>
        <v>102.09435888318247</v>
      </c>
      <c r="T168" s="38">
        <f>IMABS(IMDIV(D168,IMSUB(COMPLEX(1,0),IMPRODUCT(COMPLEX(Ported!C$18,0),IMPRODUCT(C168,H168)))))</f>
        <v>6.1191104415447146</v>
      </c>
      <c r="U168" s="21">
        <f>20*LOG10(Ported!C$29*50000*IMABS(N168))</f>
        <v>104.92703012179852</v>
      </c>
      <c r="V168" s="22">
        <f>20*LOG10(Ported!C$29*50000*IMABS(P168))</f>
        <v>61.24625316776752</v>
      </c>
      <c r="W168" s="22">
        <f>20*LOG10(Ported!C$29*50000*IMABS(R168))</f>
        <v>66.212726070727271</v>
      </c>
      <c r="X168" s="28">
        <f>1000*Ported!C$29*IMABS(H168)</f>
        <v>0.15039771857663878</v>
      </c>
      <c r="Y168" s="28">
        <f>1000*Ported!C$29*IMABS(J168)</f>
        <v>5.7129854019715752E-3</v>
      </c>
      <c r="Z168" s="28">
        <f>Ported!C$29*IMABS(IMPRODUCT(C168,J168))</f>
        <v>1.3353217488861348E-2</v>
      </c>
      <c r="AA168" s="28">
        <f>1000*Ported!C$29*IMABS(L168)</f>
        <v>1.0120145569207008E-2</v>
      </c>
      <c r="AB168" s="41" t="str">
        <f t="shared" si="27"/>
        <v>0.111963401084728+0.0239913435239015i</v>
      </c>
      <c r="AC168" s="28">
        <f>20*LOG10(Ported!C$29*50000*IMABS(AB168))</f>
        <v>104.983120574257</v>
      </c>
      <c r="AD168" s="28">
        <f t="shared" si="28"/>
        <v>177482.70073746896</v>
      </c>
      <c r="AE168" s="23">
        <f t="shared" si="29"/>
        <v>12.094358883187471</v>
      </c>
      <c r="AG168" s="64"/>
      <c r="AH168" s="1"/>
      <c r="AI168" s="1"/>
      <c r="AJ168" s="1"/>
      <c r="AK168" s="2"/>
      <c r="AL168" s="2"/>
      <c r="AM168" s="2"/>
      <c r="AN168" s="2"/>
      <c r="AO168" s="2"/>
      <c r="AP168" s="2"/>
      <c r="AQ168" s="3"/>
      <c r="AR168" s="3"/>
      <c r="AS168" s="2"/>
      <c r="AT168" s="8"/>
      <c r="AU168" s="8"/>
    </row>
    <row r="169" spans="2:47" x14ac:dyDescent="0.25">
      <c r="B169" s="25">
        <v>380</v>
      </c>
      <c r="C169" s="17" t="str">
        <f t="shared" si="20"/>
        <v>2387.61041672824i</v>
      </c>
      <c r="D169" s="18" t="str">
        <f>COMPLEX(Ported!C$19,2*PI()*B169*Ported!C$20)</f>
        <v>6</v>
      </c>
      <c r="E169" s="19" t="str">
        <f>IMSUB(COMPLEX(1,0),IMDIV(COMPLEX(Ported!C$41,0),IMSUM(COMPLEX(Ported!C$41,0),IMPRODUCT(C169,COMPLEX(Ported!C$42,0)))))</f>
        <v>0.999872818483714+0.0112767611107186i</v>
      </c>
      <c r="F169" s="19" t="str">
        <f>IMDIV(IMPRODUCT(C169,COMPLEX((Ported!C$42*Ported!C$14/Ported!C$24),0)),IMSUM(COMPLEX(Ported!C$41,0),IMPRODUCT(C169,COMPLEX(Ported!C$42,0))))</f>
        <v>5.80237076011274+0.0654402717305951i</v>
      </c>
      <c r="G169" s="30" t="str">
        <f>IMPRODUCT(F169,IMSUB(COMPLEX(1,0),IMDIV(IMPRODUCT(COMPLEX(Ported!C$41,0),E169),IMSUM(COMPLEX(0-(2*PI()*B169)^2*Ported!C$38,0),IMPRODUCT(C169,COMPLEX(0,0)),IMPRODUCT(COMPLEX(Ported!C$41,0),E169)))))</f>
        <v>5.83875259179211+0.0662635933762372i</v>
      </c>
      <c r="H169" s="32" t="str">
        <f>IMDIV(COMPLEX(Ported!C$18,0),IMPRODUCT(D169,IMSUM(COMPLEX(Ported!C$16-(2*PI()*B169)^2*Ported!C$15,0),IMPRODUCT(C169,IMSUM(COMPLEX(Ported!C$17,0),IMDIV(COMPLEX(Ported!C$18^2,0),D169))),IMPRODUCT(COMPLEX(Ported!C$14*Ported!C$41/Ported!C$24,0),G169))))</f>
        <v>-4.56227481453889E-06-9.02451547869451E-07i</v>
      </c>
      <c r="I169" s="27">
        <f t="shared" si="21"/>
        <v>-168.81091530095654</v>
      </c>
      <c r="J169" s="20" t="str">
        <f>IMPRODUCT(IMDIV(IMPRODUCT(COMPLEX(-Ported!C$41,0),F169),IMSUM(IMPRODUCT(COMPLEX(Ported!C$41,0),E169),COMPLEX(Calculations!C$3-(2*PI()*B169)^2*Ported!C$38,0),IMPRODUCT(COMPLEX(Calculations!C$4,0),C169))),H169)</f>
        <v>-1.65653565054726E-07-3.47254406755107E-08i</v>
      </c>
      <c r="K169" s="27">
        <f t="shared" si="22"/>
        <v>-168.16069743519265</v>
      </c>
      <c r="L169" s="40" t="str">
        <f>IMSUM(IMPRODUCT(COMPLEX(-(Ported!C$14/Ported!C$24),0),H169),IMDIV(IMPRODUCT(COMPLEX(-Ported!C$41,0),J169),IMSUM(COMPLEX(Ported!C$41,0),IMPRODUCT(COMPLEX(Ported!C$42,0),C169))),IMDIV(IMPRODUCT(COMPLEX(Ported!C$42*Ported!C$14/Ported!C$24,0),C169,H169),IMSUM(COMPLEX(Ported!C$41,0),IMPRODUCT(COMPLEX(Ported!C$42,0),C169))))</f>
        <v>6.28365116984418E-08-2.99754070099042E-07i</v>
      </c>
      <c r="M169" s="28">
        <f t="shared" si="23"/>
        <v>-78.160697435211731</v>
      </c>
      <c r="N169" s="39" t="str">
        <f>IMPRODUCT(COMPLEX((Ported!C$10*Ported!C$14)/(2*PI()),0),C169,C169,H169)</f>
        <v>0.111635676594572+0.022082358743312i</v>
      </c>
      <c r="O169" s="28">
        <f t="shared" si="24"/>
        <v>11.189084699043459</v>
      </c>
      <c r="P169" s="26" t="str">
        <f>IMPRODUCT(COMPLEX((Ported!C$10*Ported!C$24)/(2*PI()),0),C169,C169,J169)</f>
        <v>0.00069849232749237+0.0001464227701506i</v>
      </c>
      <c r="Q169" s="23">
        <f t="shared" si="25"/>
        <v>11.83930256480734</v>
      </c>
      <c r="R169" s="41" t="str">
        <f>IMPRODUCT(COMPLEX((Ported!C$10*Ported!C$24)/(2*PI()),0),C169,C169,L169)</f>
        <v>-0.000264955488843516+0.0012639384973672i</v>
      </c>
      <c r="S169" s="33">
        <f t="shared" si="26"/>
        <v>101.83930256478831</v>
      </c>
      <c r="T169" s="38">
        <f>IMABS(IMDIV(D169,IMSUB(COMPLEX(1,0),IMPRODUCT(COMPLEX(Ported!C$18,0),IMPRODUCT(C169,H169)))))</f>
        <v>6.1140657565618115</v>
      </c>
      <c r="U169" s="21">
        <f>20*LOG10(Ported!C$29*50000*IMABS(N169))</f>
        <v>104.92938358030152</v>
      </c>
      <c r="V169" s="22">
        <f>20*LOG10(Ported!C$29*50000*IMABS(P169))</f>
        <v>60.876636420197201</v>
      </c>
      <c r="W169" s="22">
        <f>20*LOG10(Ported!C$29*50000*IMABS(R169))</f>
        <v>66.027922457854785</v>
      </c>
      <c r="X169" s="28">
        <f>1000*Ported!C$29*IMABS(H169)</f>
        <v>0.14417089941705416</v>
      </c>
      <c r="Y169" s="28">
        <f>1000*Ported!C$29*IMABS(J169)</f>
        <v>5.2468779680373973E-3</v>
      </c>
      <c r="Z169" s="28">
        <f>Ported!C$29*IMABS(IMPRODUCT(C169,J169))</f>
        <v>1.2527500491787993E-2</v>
      </c>
      <c r="AA169" s="28">
        <f>1000*Ported!C$29*IMABS(L169)</f>
        <v>9.4943506088293571E-3</v>
      </c>
      <c r="AB169" s="41" t="str">
        <f t="shared" si="27"/>
        <v>0.112069213433221+0.0234927200108298i</v>
      </c>
      <c r="AC169" s="28">
        <f>20*LOG10(Ported!C$29*50000*IMABS(AB169))</f>
        <v>104.98313009608317</v>
      </c>
      <c r="AD169" s="28">
        <f t="shared" si="28"/>
        <v>177482.89530134483</v>
      </c>
      <c r="AE169" s="23">
        <f t="shared" si="29"/>
        <v>11.839302564807362</v>
      </c>
      <c r="AG169" s="64"/>
      <c r="AH169" s="1"/>
      <c r="AI169" s="1"/>
      <c r="AJ169" s="1"/>
      <c r="AK169" s="2"/>
      <c r="AL169" s="2"/>
      <c r="AM169" s="2"/>
      <c r="AN169" s="2"/>
      <c r="AO169" s="2"/>
      <c r="AP169" s="2"/>
      <c r="AQ169" s="3"/>
      <c r="AR169" s="3"/>
      <c r="AS169" s="2"/>
      <c r="AT169" s="8"/>
      <c r="AU169" s="8"/>
    </row>
    <row r="170" spans="2:47" x14ac:dyDescent="0.25">
      <c r="B170" s="25">
        <v>389</v>
      </c>
      <c r="C170" s="17" t="str">
        <f t="shared" si="20"/>
        <v>2444.15908449286i</v>
      </c>
      <c r="D170" s="18" t="str">
        <f>COMPLEX(Ported!C$19,2*PI()*B170*Ported!C$20)</f>
        <v>6</v>
      </c>
      <c r="E170" s="19" t="str">
        <f>IMSUB(COMPLEX(1,0),IMDIV(COMPLEX(Ported!C$41,0),IMSUM(COMPLEX(Ported!C$41,0),IMPRODUCT(C170,COMPLEX(Ported!C$42,0)))))</f>
        <v>0.999878634705161+0.0110159232615332i</v>
      </c>
      <c r="F170" s="19" t="str">
        <f>IMDIV(IMPRODUCT(C170,COMPLEX((Ported!C$42*Ported!C$14/Ported!C$24),0)),IMSUM(COMPLEX(Ported!C$41,0),IMPRODUCT(C170,COMPLEX(Ported!C$42,0))))</f>
        <v>5.80240451227866+0.0639266013104518i</v>
      </c>
      <c r="G170" s="30" t="str">
        <f>IMPRODUCT(F170,IMSUB(COMPLEX(1,0),IMDIV(IMPRODUCT(COMPLEX(Ported!C$41,0),E170),IMSUM(COMPLEX(0-(2*PI()*B170)^2*Ported!C$38,0),IMPRODUCT(C170,COMPLEX(0,0)),IMPRODUCT(COMPLEX(Ported!C$41,0),E170)))))</f>
        <v>5.83711299769611+0.0646937677614483i</v>
      </c>
      <c r="H170" s="32" t="str">
        <f>IMDIV(COMPLEX(Ported!C$18,0),IMPRODUCT(D170,IMSUM(COMPLEX(Ported!C$16-(2*PI()*B170)^2*Ported!C$15,0),IMPRODUCT(C170,IMSUM(COMPLEX(Ported!C$17,0),IMDIV(COMPLEX(Ported!C$18^2,0),D170))),IMPRODUCT(COMPLEX(Ported!C$14*Ported!C$41/Ported!C$24,0),G170))))</f>
        <v>-4.35870156216213E-06-8.4171612125672E-07i</v>
      </c>
      <c r="I170" s="27">
        <f t="shared" si="21"/>
        <v>-169.07005807105429</v>
      </c>
      <c r="J170" s="20" t="str">
        <f>IMPRODUCT(IMDIV(IMPRODUCT(COMPLEX(-Ported!C$41,0),F170),IMSUM(IMPRODUCT(COMPLEX(Ported!C$41,0),E170),COMPLEX(Calculations!C$3-(2*PI()*B170)^2*Ported!C$38,0),IMPRODUCT(COMPLEX(Calculations!C$4,0),C170))),H170)</f>
        <v>-1.50996899167167E-07-3.08989211314079E-08i</v>
      </c>
      <c r="K170" s="27">
        <f t="shared" si="22"/>
        <v>-168.43506469438339</v>
      </c>
      <c r="L170" s="40" t="str">
        <f>IMSUM(IMPRODUCT(COMPLEX(-(Ported!C$14/Ported!C$24),0),H170),IMDIV(IMPRODUCT(COMPLEX(-Ported!C$41,0),J170),IMSUM(COMPLEX(Ported!C$41,0),IMPRODUCT(COMPLEX(Ported!C$42,0),C170))),IMDIV(IMPRODUCT(COMPLEX(Ported!C$42*Ported!C$14/Ported!C$24,0),C170,H170),IMSUM(COMPLEX(Ported!C$41,0),IMPRODUCT(COMPLEX(Ported!C$42,0),C170))))</f>
        <v>5.72365729529351E-08-2.79703779885852E-07i</v>
      </c>
      <c r="M170" s="28">
        <f t="shared" si="23"/>
        <v>-78.435064694384778</v>
      </c>
      <c r="N170" s="39" t="str">
        <f>IMPRODUCT(COMPLEX((Ported!C$10*Ported!C$14)/(2*PI()),0),C170,C170,H170)</f>
        <v>0.111766257913204+0.0215833682936103i</v>
      </c>
      <c r="O170" s="28">
        <f t="shared" si="24"/>
        <v>10.92994192894564</v>
      </c>
      <c r="P170" s="26" t="str">
        <f>IMPRODUCT(COMPLEX((Ported!C$10*Ported!C$24)/(2*PI()),0),C170,C170,J170)</f>
        <v>0.000667207456861086+0.000136532542731319i</v>
      </c>
      <c r="Q170" s="23">
        <f t="shared" si="25"/>
        <v>11.564935305616602</v>
      </c>
      <c r="R170" s="41" t="str">
        <f>IMPRODUCT(COMPLEX((Ported!C$10*Ported!C$24)/(2*PI()),0),C170,C170,L170)</f>
        <v>-0.000252910281535607+0.00123592238437603i</v>
      </c>
      <c r="S170" s="33">
        <f t="shared" si="26"/>
        <v>101.56493530561524</v>
      </c>
      <c r="T170" s="38">
        <f>IMABS(IMDIV(D170,IMSUB(COMPLEX(1,0),IMPRODUCT(COMPLEX(Ported!C$18,0),IMPRODUCT(C170,H170)))))</f>
        <v>6.108766199332746</v>
      </c>
      <c r="U170" s="21">
        <f>20*LOG10(Ported!C$29*50000*IMABS(N170))</f>
        <v>104.93185894019966</v>
      </c>
      <c r="V170" s="22">
        <f>20*LOG10(Ported!C$29*50000*IMABS(P170))</f>
        <v>60.470006257172876</v>
      </c>
      <c r="W170" s="22">
        <f>20*LOG10(Ported!C$29*50000*IMABS(R170))</f>
        <v>65.824612389008735</v>
      </c>
      <c r="X170" s="28">
        <f>1000*Ported!C$29*IMABS(H170)</f>
        <v>0.13761613818387619</v>
      </c>
      <c r="Y170" s="28">
        <f>1000*Ported!C$29*IMABS(J170)</f>
        <v>4.7779042912831941E-3</v>
      </c>
      <c r="Z170" s="28">
        <f>Ported!C$29*IMABS(IMPRODUCT(C170,J170))</f>
        <v>1.1677958178377253E-2</v>
      </c>
      <c r="AA170" s="28">
        <f>1000*Ported!C$29*IMABS(L170)</f>
        <v>8.8504989014723014E-3</v>
      </c>
      <c r="AB170" s="41" t="str">
        <f t="shared" si="27"/>
        <v>0.112180555088529+0.0229558232207177i</v>
      </c>
      <c r="AC170" s="28">
        <f>20*LOG10(Ported!C$29*50000*IMABS(AB170))</f>
        <v>104.98314012141465</v>
      </c>
      <c r="AD170" s="28">
        <f t="shared" si="28"/>
        <v>177483.10015380752</v>
      </c>
      <c r="AE170" s="23">
        <f t="shared" si="29"/>
        <v>11.564935305616638</v>
      </c>
      <c r="AG170" s="64"/>
      <c r="AH170" s="1"/>
      <c r="AI170" s="1"/>
      <c r="AJ170" s="1"/>
      <c r="AK170" s="2"/>
      <c r="AL170" s="2"/>
      <c r="AM170" s="2"/>
      <c r="AN170" s="2"/>
      <c r="AO170" s="2"/>
      <c r="AP170" s="2"/>
      <c r="AQ170" s="3"/>
      <c r="AR170" s="3"/>
      <c r="AS170" s="2"/>
      <c r="AT170" s="8"/>
      <c r="AU170" s="8"/>
    </row>
    <row r="171" spans="2:47" x14ac:dyDescent="0.25">
      <c r="B171" s="25">
        <v>398</v>
      </c>
      <c r="C171" s="17" t="str">
        <f t="shared" si="20"/>
        <v>2500.70775225748i</v>
      </c>
      <c r="D171" s="18" t="str">
        <f>COMPLEX(Ported!C$19,2*PI()*B171*Ported!C$20)</f>
        <v>6</v>
      </c>
      <c r="E171" s="19" t="str">
        <f>IMSUB(COMPLEX(1,0),IMDIV(COMPLEX(Ported!C$41,0),IMSUM(COMPLEX(Ported!C$41,0),IMPRODUCT(C171,COMPLEX(Ported!C$42,0)))))</f>
        <v>0.99988406089843+0.0107668778991217i</v>
      </c>
      <c r="F171" s="19" t="str">
        <f>IMDIV(IMPRODUCT(C171,COMPLEX((Ported!C$42*Ported!C$14/Ported!C$24),0)),IMSUM(COMPLEX(Ported!C$41,0),IMPRODUCT(C171,COMPLEX(Ported!C$42,0))))</f>
        <v>5.80243600106861+0.0624813639741775i</v>
      </c>
      <c r="G171" s="30" t="str">
        <f>IMPRODUCT(F171,IMSUB(COMPLEX(1,0),IMDIV(IMPRODUCT(COMPLEX(Ported!C$41,0),E171),IMSUM(COMPLEX(0-(2*PI()*B171)^2*Ported!C$38,0),IMPRODUCT(C171,COMPLEX(0,0)),IMPRODUCT(COMPLEX(Ported!C$41,0),E171)))))</f>
        <v>5.83558418201157+0.0631973746999788i</v>
      </c>
      <c r="H171" s="32" t="str">
        <f>IMDIV(COMPLEX(Ported!C$18,0),IMPRODUCT(D171,IMSUM(COMPLEX(Ported!C$16-(2*PI()*B171)^2*Ported!C$15,0),IMPRODUCT(C171,IMSUM(COMPLEX(Ported!C$17,0),IMDIV(COMPLEX(Ported!C$18^2,0),D171))),IMPRODUCT(COMPLEX(Ported!C$14*Ported!C$41/Ported!C$24,0),G171))))</f>
        <v>-4.16834419957702E-06-7.86301065324934E-07i</v>
      </c>
      <c r="I171" s="27">
        <f t="shared" si="21"/>
        <v>-169.31746310729412</v>
      </c>
      <c r="J171" s="20" t="str">
        <f>IMPRODUCT(IMDIV(IMPRODUCT(COMPLEX(-Ported!C$41,0),F171),IMSUM(IMPRODUCT(COMPLEX(Ported!C$41,0),E171),COMPLEX(Calculations!C$3-(2*PI()*B171)^2*Ported!C$38,0),IMPRODUCT(COMPLEX(Calculations!C$4,0),C171))),H171)</f>
        <v>-1.37922831379644E-07-2.75672269793147E-08i</v>
      </c>
      <c r="K171" s="27">
        <f t="shared" si="22"/>
        <v>-168.69699372716966</v>
      </c>
      <c r="L171" s="40" t="str">
        <f>IMSUM(IMPRODUCT(COMPLEX(-(Ported!C$14/Ported!C$24),0),H171),IMDIV(IMPRODUCT(COMPLEX(-Ported!C$41,0),J171),IMSUM(COMPLEX(Ported!C$41,0),IMPRODUCT(COMPLEX(Ported!C$42,0),C171))),IMDIV(IMPRODUCT(COMPLEX(Ported!C$42*Ported!C$14/Ported!C$24,0),C171,H171),IMSUM(COMPLEX(Ported!C$41,0),IMPRODUCT(COMPLEX(Ported!C$42,0),C171))))</f>
        <v>5.22464587512605E-08-2.61396604233817E-07i</v>
      </c>
      <c r="M171" s="28">
        <f t="shared" si="23"/>
        <v>-78.696993727172867</v>
      </c>
      <c r="N171" s="39" t="str">
        <f>IMPRODUCT(COMPLEX((Ported!C$10*Ported!C$14)/(2*PI()),0),C171,C171,H171)</f>
        <v>0.111888149517587+0.0211061675693293i</v>
      </c>
      <c r="O171" s="28">
        <f t="shared" si="24"/>
        <v>10.68253689270591</v>
      </c>
      <c r="P171" s="26" t="str">
        <f>IMPRODUCT(COMPLEX((Ported!C$10*Ported!C$24)/(2*PI()),0),C171,C171,J171)</f>
        <v>0.000637963700033389+0.000127512536883574i</v>
      </c>
      <c r="Q171" s="23">
        <f t="shared" si="25"/>
        <v>11.3030062728303</v>
      </c>
      <c r="R171" s="41" t="str">
        <f>IMPRODUCT(COMPLEX((Ported!C$10*Ported!C$24)/(2*PI()),0),C171,C171,L171)</f>
        <v>-0.000241666617522147+0.0012090931076824i</v>
      </c>
      <c r="S171" s="33">
        <f t="shared" si="26"/>
        <v>101.30300627282713</v>
      </c>
      <c r="T171" s="38">
        <f>IMABS(IMDIV(D171,IMSUB(COMPLEX(1,0),IMPRODUCT(COMPLEX(Ported!C$18,0),IMPRODUCT(C171,H171)))))</f>
        <v>6.1038293138828426</v>
      </c>
      <c r="U171" s="21">
        <f>20*LOG10(Ported!C$29*50000*IMABS(N171))</f>
        <v>104.93416766929462</v>
      </c>
      <c r="V171" s="22">
        <f>20*LOG10(Ported!C$29*50000*IMABS(P171))</f>
        <v>60.072676787264029</v>
      </c>
      <c r="W171" s="22">
        <f>20*LOG10(Ported!C$29*50000*IMABS(R171))</f>
        <v>65.625952334059818</v>
      </c>
      <c r="X171" s="28">
        <f>1000*Ported!C$29*IMABS(H171)</f>
        <v>0.13149761056745804</v>
      </c>
      <c r="Y171" s="28">
        <f>1000*Ported!C$29*IMABS(J171)</f>
        <v>4.3601761090306442E-3</v>
      </c>
      <c r="Z171" s="28">
        <f>Ported!C$29*IMABS(IMPRODUCT(C171,J171))</f>
        <v>1.0903526197060786E-2</v>
      </c>
      <c r="AA171" s="28">
        <f>1000*Ported!C$29*IMABS(L171)</f>
        <v>8.2635718637822844E-3</v>
      </c>
      <c r="AB171" s="41" t="str">
        <f t="shared" si="27"/>
        <v>0.112284446600098+0.0224427732138953i</v>
      </c>
      <c r="AC171" s="28">
        <f>20*LOG10(Ported!C$29*50000*IMABS(AB171))</f>
        <v>104.98314948142499</v>
      </c>
      <c r="AD171" s="28">
        <f t="shared" si="28"/>
        <v>177483.29141165406</v>
      </c>
      <c r="AE171" s="23">
        <f t="shared" si="29"/>
        <v>11.303006272830444</v>
      </c>
      <c r="AG171" s="64"/>
      <c r="AH171" s="1"/>
      <c r="AI171" s="1"/>
      <c r="AJ171" s="1"/>
      <c r="AK171" s="2"/>
      <c r="AL171" s="2"/>
      <c r="AM171" s="2"/>
      <c r="AN171" s="2"/>
      <c r="AO171" s="2"/>
      <c r="AP171" s="2"/>
      <c r="AQ171" s="3"/>
      <c r="AR171" s="3"/>
      <c r="AS171" s="2"/>
      <c r="AT171" s="8"/>
      <c r="AU171" s="8"/>
    </row>
    <row r="172" spans="2:47" x14ac:dyDescent="0.25">
      <c r="B172" s="25">
        <v>407</v>
      </c>
      <c r="C172" s="17" t="str">
        <f t="shared" si="20"/>
        <v>2557.25642002209i</v>
      </c>
      <c r="D172" s="18" t="str">
        <f>COMPLEX(Ported!C$19,2*PI()*B172*Ported!C$20)</f>
        <v>6</v>
      </c>
      <c r="E172" s="19" t="str">
        <f>IMSUB(COMPLEX(1,0),IMDIV(COMPLEX(Ported!C$41,0),IMSUM(COMPLEX(Ported!C$41,0),IMPRODUCT(C172,COMPLEX(Ported!C$42,0)))))</f>
        <v>0.999889131171498+0.010528843080079i</v>
      </c>
      <c r="F172" s="19" t="str">
        <f>IMDIV(IMPRODUCT(C172,COMPLEX((Ported!C$42*Ported!C$14/Ported!C$24),0)),IMSUM(COMPLEX(Ported!C$41,0),IMPRODUCT(C172,COMPLEX(Ported!C$42,0))))</f>
        <v>5.80246542441492+0.0611000220191114i</v>
      </c>
      <c r="G172" s="30" t="str">
        <f>IMPRODUCT(F172,IMSUB(COMPLEX(1,0),IMDIV(IMPRODUCT(COMPLEX(Ported!C$41,0),E172),IMSUM(COMPLEX(0-(2*PI()*B172)^2*Ported!C$38,0),IMPRODUCT(C172,COMPLEX(0,0)),IMPRODUCT(COMPLEX(Ported!C$41,0),E172)))))</f>
        <v>5.83415636891145+0.0617693315844181i</v>
      </c>
      <c r="H172" s="32" t="str">
        <f>IMDIV(COMPLEX(Ported!C$18,0),IMPRODUCT(D172,IMSUM(COMPLEX(Ported!C$16-(2*PI()*B172)^2*Ported!C$15,0),IMPRODUCT(C172,IMSUM(COMPLEX(Ported!C$17,0),IMDIV(COMPLEX(Ported!C$18^2,0),D172))),IMPRODUCT(COMPLEX(Ported!C$14*Ported!C$41/Ported!C$24,0),G172))))</f>
        <v>-3.99009274138272E-06-7.35637341865467E-07i</v>
      </c>
      <c r="I172" s="27">
        <f t="shared" si="21"/>
        <v>-169.55391060024218</v>
      </c>
      <c r="J172" s="20" t="str">
        <f>IMPRODUCT(IMDIV(IMPRODUCT(COMPLEX(-Ported!C$41,0),F172),IMSUM(IMPRODUCT(COMPLEX(Ported!C$41,0),E172),COMPLEX(Calculations!C$3-(2*PI()*B172)^2*Ported!C$38,0),IMPRODUCT(COMPLEX(Calculations!C$4,0),C172))),H172)</f>
        <v>-1.26231046595578E-07-2.46573162552367E-08i</v>
      </c>
      <c r="K172" s="27">
        <f t="shared" si="22"/>
        <v>-168.94731222544644</v>
      </c>
      <c r="L172" s="40" t="str">
        <f>IMSUM(IMPRODUCT(COMPLEX(-(Ported!C$14/Ported!C$24),0),H172),IMDIV(IMPRODUCT(COMPLEX(-Ported!C$41,0),J172),IMSUM(COMPLEX(Ported!C$41,0),IMPRODUCT(COMPLEX(Ported!C$42,0),C172))),IMDIV(IMPRODUCT(COMPLEX(Ported!C$42*Ported!C$14/Ported!C$24,0),C172,H172),IMSUM(COMPLEX(Ported!C$41,0),IMPRODUCT(COMPLEX(Ported!C$42,0),C172))))</f>
        <v>4.77882272184824E-08-2.44647790306683E-07i</v>
      </c>
      <c r="M172" s="28">
        <f t="shared" si="23"/>
        <v>-78.947312225447149</v>
      </c>
      <c r="N172" s="39" t="str">
        <f>IMPRODUCT(COMPLEX((Ported!C$10*Ported!C$14)/(2*PI()),0),C172,C172,H172)</f>
        <v>0.112002104261067+0.0206493772456522i</v>
      </c>
      <c r="O172" s="28">
        <f t="shared" si="24"/>
        <v>10.446089399757851</v>
      </c>
      <c r="P172" s="26" t="str">
        <f>IMPRODUCT(COMPLEX((Ported!C$10*Ported!C$24)/(2*PI()),0),C172,C172,J172)</f>
        <v>0.000610588557648023+0.000119269193861564i</v>
      </c>
      <c r="Q172" s="23">
        <f t="shared" si="25"/>
        <v>11.052687774553547</v>
      </c>
      <c r="R172" s="41" t="str">
        <f>IMPRODUCT(COMPLEX((Ported!C$10*Ported!C$24)/(2*PI()),0),C172,C172,L172)</f>
        <v>-0.000231155056674554+0.00118337877601315i</v>
      </c>
      <c r="S172" s="33">
        <f t="shared" si="26"/>
        <v>101.05268777455279</v>
      </c>
      <c r="T172" s="38">
        <f>IMABS(IMDIV(D172,IMSUB(COMPLEX(1,0),IMPRODUCT(COMPLEX(Ported!C$18,0),IMPRODUCT(C172,H172)))))</f>
        <v>6.0992226005995978</v>
      </c>
      <c r="U172" s="21">
        <f>20*LOG10(Ported!C$29*50000*IMABS(N172))</f>
        <v>104.93632440704872</v>
      </c>
      <c r="V172" s="22">
        <f>20*LOG10(Ported!C$29*50000*IMABS(P172))</f>
        <v>59.684232053347742</v>
      </c>
      <c r="W172" s="22">
        <f>20*LOG10(Ported!C$29*50000*IMABS(R172))</f>
        <v>65.431734343174298</v>
      </c>
      <c r="X172" s="28">
        <f>1000*Ported!C$29*IMABS(H172)</f>
        <v>0.12577751901918824</v>
      </c>
      <c r="Y172" s="28">
        <f>1000*Ported!C$29*IMABS(J172)</f>
        <v>3.9871182845652121E-3</v>
      </c>
      <c r="Z172" s="28">
        <f>Ported!C$29*IMABS(IMPRODUCT(C172,J172))</f>
        <v>1.0196083830591838E-2</v>
      </c>
      <c r="AA172" s="28">
        <f>1000*Ported!C$29*IMABS(L172)</f>
        <v>7.7274149610387513E-3</v>
      </c>
      <c r="AB172" s="41" t="str">
        <f t="shared" si="27"/>
        <v>0.11238153776204+0.0219520252155269i</v>
      </c>
      <c r="AC172" s="28">
        <f>20*LOG10(Ported!C$29*50000*IMABS(AB172))</f>
        <v>104.98315823356992</v>
      </c>
      <c r="AD172" s="28">
        <f t="shared" si="28"/>
        <v>177483.47024886464</v>
      </c>
      <c r="AE172" s="23">
        <f t="shared" si="29"/>
        <v>11.052687774553689</v>
      </c>
      <c r="AG172" s="64"/>
      <c r="AH172" s="1"/>
      <c r="AI172" s="1"/>
      <c r="AJ172" s="1"/>
      <c r="AK172" s="2"/>
      <c r="AL172" s="2"/>
      <c r="AM172" s="2"/>
      <c r="AN172" s="2"/>
      <c r="AO172" s="2"/>
      <c r="AP172" s="2"/>
      <c r="AQ172" s="3"/>
      <c r="AR172" s="3"/>
      <c r="AS172" s="2"/>
      <c r="AT172" s="8"/>
      <c r="AU172" s="8"/>
    </row>
    <row r="173" spans="2:47" x14ac:dyDescent="0.25">
      <c r="B173" s="25">
        <v>417</v>
      </c>
      <c r="C173" s="17" t="str">
        <f t="shared" si="20"/>
        <v>2620.08827309389i</v>
      </c>
      <c r="D173" s="18" t="str">
        <f>COMPLEX(Ported!C$19,2*PI()*B173*Ported!C$20)</f>
        <v>6</v>
      </c>
      <c r="E173" s="19" t="str">
        <f>IMSUB(COMPLEX(1,0),IMDIV(COMPLEX(Ported!C$41,0),IMSUM(COMPLEX(Ported!C$41,0),IMPRODUCT(C173,COMPLEX(Ported!C$42,0)))))</f>
        <v>0.999894384308043+0.0102764068274208i</v>
      </c>
      <c r="F173" s="19" t="str">
        <f>IMDIV(IMPRODUCT(C173,COMPLEX((Ported!C$42*Ported!C$14/Ported!C$24),0)),IMSUM(COMPLEX(Ported!C$41,0),IMPRODUCT(C173,COMPLEX(Ported!C$42,0))))</f>
        <v>5.80249590893788+0.059635106977779i</v>
      </c>
      <c r="G173" s="30" t="str">
        <f>IMPRODUCT(F173,IMSUB(COMPLEX(1,0),IMDIV(IMPRODUCT(COMPLEX(Ported!C$41,0),E173),IMSUM(COMPLEX(0-(2*PI()*B173)^2*Ported!C$38,0),IMPRODUCT(C173,COMPLEX(0,0)),IMPRODUCT(COMPLEX(Ported!C$41,0),E173)))))</f>
        <v>5.83267779676576+0.0602571750949811i</v>
      </c>
      <c r="H173" s="32" t="str">
        <f>IMDIV(COMPLEX(Ported!C$18,0),IMPRODUCT(D173,IMSUM(COMPLEX(Ported!C$16-(2*PI()*B173)^2*Ported!C$15,0),IMPRODUCT(C173,IMSUM(COMPLEX(Ported!C$17,0),IMDIV(COMPLEX(Ported!C$18^2,0),D173))),IMPRODUCT(COMPLEX(Ported!C$14*Ported!C$41/Ported!C$24,0),G173))))</f>
        <v>-3.80502478581321E-06-6.84313689724514E-07i</v>
      </c>
      <c r="I173" s="27">
        <f t="shared" si="21"/>
        <v>-169.80464312957236</v>
      </c>
      <c r="J173" s="20" t="str">
        <f>IMPRODUCT(IMDIV(IMPRODUCT(COMPLEX(-Ported!C$41,0),F173),IMSUM(IMPRODUCT(COMPLEX(Ported!C$41,0),E173),COMPLEX(Calculations!C$3-(2*PI()*B173)^2*Ported!C$38,0),IMPRODUCT(COMPLEX(Calculations!C$4,0),C173))),H173)</f>
        <v>-1.14653738287534E-07-2.18449423365173E-08i</v>
      </c>
      <c r="K173" s="27">
        <f t="shared" si="22"/>
        <v>-169.21274364187795</v>
      </c>
      <c r="L173" s="40" t="str">
        <f>IMSUM(IMPRODUCT(COMPLEX(-(Ported!C$14/Ported!C$24),0),H173),IMDIV(IMPRODUCT(COMPLEX(-Ported!C$41,0),J173),IMSUM(COMPLEX(Ported!C$41,0),IMPRODUCT(COMPLEX(Ported!C$42,0),C173))),IMDIV(IMPRODUCT(COMPLEX(Ported!C$42*Ported!C$14/Ported!C$24,0),C173,H173),IMSUM(COMPLEX(Ported!C$41,0),IMPRODUCT(COMPLEX(Ported!C$42,0),C173))))</f>
        <v>4.33778140681773E-08-2.27669566028117E-07i</v>
      </c>
      <c r="M173" s="28">
        <f t="shared" si="23"/>
        <v>-79.212743641890711</v>
      </c>
      <c r="N173" s="39" t="str">
        <f>IMPRODUCT(COMPLEX((Ported!C$10*Ported!C$14)/(2*PI()),0),C173,C173,H173)</f>
        <v>0.112120228365968+0.0201642332139167i</v>
      </c>
      <c r="O173" s="28">
        <f t="shared" si="24"/>
        <v>10.195356870427688</v>
      </c>
      <c r="P173" s="26" t="str">
        <f>IMPRODUCT(COMPLEX((Ported!C$10*Ported!C$24)/(2*PI()),0),C173,C173,J173)</f>
        <v>0.000582175586508495+0.000110921739726553i</v>
      </c>
      <c r="Q173" s="23">
        <f t="shared" si="25"/>
        <v>10.787256358122017</v>
      </c>
      <c r="R173" s="41" t="str">
        <f>IMPRODUCT(COMPLEX((Ported!C$10*Ported!C$24)/(2*PI()),0),C173,C173,L173)</f>
        <v>-0.000220258883171045+0.00115603437892408i</v>
      </c>
      <c r="S173" s="33">
        <f t="shared" si="26"/>
        <v>100.78725635810927</v>
      </c>
      <c r="T173" s="38">
        <f>IMABS(IMDIV(D173,IMSUB(COMPLEX(1,0),IMPRODUCT(COMPLEX(Ported!C$18,0),IMPRODUCT(C173,H173)))))</f>
        <v>6.094456197261219</v>
      </c>
      <c r="U173" s="21">
        <f>20*LOG10(Ported!C$29*50000*IMABS(N173))</f>
        <v>104.9385583641331</v>
      </c>
      <c r="V173" s="22">
        <f>20*LOG10(Ported!C$29*50000*IMABS(P173))</f>
        <v>59.262575297414969</v>
      </c>
      <c r="W173" s="22">
        <f>20*LOG10(Ported!C$29*50000*IMABS(R173))</f>
        <v>65.220910502211879</v>
      </c>
      <c r="X173" s="28">
        <f>1000*Ported!C$29*IMABS(H173)</f>
        <v>0.11984817642158746</v>
      </c>
      <c r="Y173" s="28">
        <f>1000*Ported!C$29*IMABS(J173)</f>
        <v>3.6182035102853747E-3</v>
      </c>
      <c r="Z173" s="28">
        <f>Ported!C$29*IMABS(IMPRODUCT(C173,J173))</f>
        <v>9.480012586965866E-3</v>
      </c>
      <c r="AA173" s="28">
        <f>1000*Ported!C$29*IMABS(L173)</f>
        <v>7.1847183989953755E-3</v>
      </c>
      <c r="AB173" s="41" t="str">
        <f t="shared" si="27"/>
        <v>0.112482145069305+0.0214311893325673i</v>
      </c>
      <c r="AC173" s="28">
        <f>20*LOG10(Ported!C$29*50000*IMABS(AB173))</f>
        <v>104.98316730757867</v>
      </c>
      <c r="AD173" s="28">
        <f t="shared" si="28"/>
        <v>177483.65566307883</v>
      </c>
      <c r="AE173" s="23">
        <f t="shared" si="29"/>
        <v>10.787256358122137</v>
      </c>
      <c r="AG173" s="64"/>
      <c r="AH173" s="1"/>
      <c r="AI173" s="1"/>
      <c r="AJ173" s="1"/>
      <c r="AK173" s="2"/>
      <c r="AL173" s="2"/>
      <c r="AM173" s="2"/>
      <c r="AN173" s="2"/>
      <c r="AO173" s="2"/>
      <c r="AP173" s="2"/>
      <c r="AQ173" s="3"/>
      <c r="AR173" s="3"/>
      <c r="AS173" s="2"/>
      <c r="AT173" s="8"/>
      <c r="AU173" s="8"/>
    </row>
    <row r="174" spans="2:47" x14ac:dyDescent="0.25">
      <c r="B174" s="25">
        <v>427</v>
      </c>
      <c r="C174" s="17" t="str">
        <f t="shared" si="20"/>
        <v>2682.92012616568i</v>
      </c>
      <c r="D174" s="18" t="str">
        <f>COMPLEX(Ported!C$19,2*PI()*B174*Ported!C$20)</f>
        <v>6</v>
      </c>
      <c r="E174" s="19" t="str">
        <f>IMSUB(COMPLEX(1,0),IMDIV(COMPLEX(Ported!C$41,0),IMSUM(COMPLEX(Ported!C$41,0),IMPRODUCT(C174,COMPLEX(Ported!C$42,0)))))</f>
        <v>0.999899272760523+0.0100357906265693i</v>
      </c>
      <c r="F174" s="19" t="str">
        <f>IMDIV(IMPRODUCT(C174,COMPLEX((Ported!C$42*Ported!C$14/Ported!C$24),0)),IMSUM(COMPLEX(Ported!C$41,0),IMPRODUCT(C174,COMPLEX(Ported!C$42,0))))</f>
        <v>5.80252427715951+0.0582387849832004i</v>
      </c>
      <c r="G174" s="30" t="str">
        <f>IMPRODUCT(F174,IMSUB(COMPLEX(1,0),IMDIV(IMPRODUCT(COMPLEX(Ported!C$41,0),E174),IMSUM(COMPLEX(0-(2*PI()*B174)^2*Ported!C$38,0),IMPRODUCT(C174,COMPLEX(0,0)),IMPRODUCT(COMPLEX(Ported!C$41,0),E174)))))</f>
        <v>5.83130254281318+0.0588179599366594i</v>
      </c>
      <c r="H174" s="32" t="str">
        <f>IMDIV(COMPLEX(Ported!C$18,0),IMPRODUCT(D174,IMSUM(COMPLEX(Ported!C$16-(2*PI()*B174)^2*Ported!C$15,0),IMPRODUCT(C174,IMSUM(COMPLEX(Ported!C$17,0),IMDIV(COMPLEX(Ported!C$18^2,0),D174))),IMPRODUCT(COMPLEX(Ported!C$14*Ported!C$41/Ported!C$24,0),G174))))</f>
        <v>-0.0000036324499420449-6.37648142386824E-07i</v>
      </c>
      <c r="I174" s="27">
        <f t="shared" si="21"/>
        <v>-170.04361632925765</v>
      </c>
      <c r="J174" s="20" t="str">
        <f>IMPRODUCT(IMDIV(IMPRODUCT(COMPLEX(-Ported!C$41,0),F174),IMSUM(IMPRODUCT(COMPLEX(Ported!C$41,0),E174),COMPLEX(Calculations!C$3-(2*PI()*B174)^2*Ported!C$38,0),IMPRODUCT(COMPLEX(Calculations!C$4,0),C174))),H174)</f>
        <v>-1.04371594637803E-07-1.94087351784695E-08i</v>
      </c>
      <c r="K174" s="27">
        <f t="shared" si="22"/>
        <v>-169.46571687054933</v>
      </c>
      <c r="L174" s="40" t="str">
        <f>IMSUM(IMPRODUCT(COMPLEX(-(Ported!C$14/Ported!C$24),0),H174),IMDIV(IMPRODUCT(COMPLEX(-Ported!C$41,0),J174),IMSUM(COMPLEX(Ported!C$41,0),IMPRODUCT(COMPLEX(Ported!C$42,0),C174))),IMDIV(IMPRODUCT(COMPLEX(Ported!C$42*Ported!C$14/Ported!C$24,0),C174,H174),IMSUM(COMPLEX(Ported!C$41,0),IMPRODUCT(COMPLEX(Ported!C$42,0),C174))))</f>
        <v>3.94644281961817E-08-0.0000002122222424302i</v>
      </c>
      <c r="M174" s="28">
        <f t="shared" si="23"/>
        <v>-79.465716870559717</v>
      </c>
      <c r="N174" s="39" t="str">
        <f>IMPRODUCT(COMPLEX((Ported!C$10*Ported!C$14)/(2*PI()),0),C174,C174,H174)</f>
        <v>0.11223020643713+0.0197011338892777i</v>
      </c>
      <c r="O174" s="28">
        <f t="shared" si="24"/>
        <v>9.956383670742337</v>
      </c>
      <c r="P174" s="26" t="str">
        <f>IMPRODUCT(COMPLEX((Ported!C$10*Ported!C$24)/(2*PI()),0),C174,C174,J174)</f>
        <v>0.000555688909113293+0.00010333480978249i</v>
      </c>
      <c r="Q174" s="23">
        <f t="shared" si="25"/>
        <v>10.534283129450667</v>
      </c>
      <c r="R174" s="41" t="str">
        <f>IMPRODUCT(COMPLEX((Ported!C$10*Ported!C$24)/(2*PI()),0),C174,C174,L174)</f>
        <v>-0.000210114113224185+0.0011299007818637i</v>
      </c>
      <c r="S174" s="33">
        <f t="shared" si="26"/>
        <v>100.53428312944027</v>
      </c>
      <c r="T174" s="38">
        <f>IMABS(IMDIV(D174,IMSUB(COMPLEX(1,0),IMPRODUCT(COMPLEX(Ported!C$18,0),IMPRODUCT(C174,H174)))))</f>
        <v>6.0900265774686844</v>
      </c>
      <c r="U174" s="21">
        <f>20*LOG10(Ported!C$29*50000*IMABS(N174))</f>
        <v>104.94063671870548</v>
      </c>
      <c r="V174" s="22">
        <f>20*LOG10(Ported!C$29*50000*IMABS(P174))</f>
        <v>58.8509109451211</v>
      </c>
      <c r="W174" s="22">
        <f>20*LOG10(Ported!C$29*50000*IMABS(R174))</f>
        <v>65.015082550942921</v>
      </c>
      <c r="X174" s="28">
        <f>1000*Ported!C$29*IMABS(H174)</f>
        <v>0.11432776352788618</v>
      </c>
      <c r="Y174" s="28">
        <f>1000*Ported!C$29*IMABS(J174)</f>
        <v>3.290986743591602E-3</v>
      </c>
      <c r="Z174" s="28">
        <f>Ported!C$29*IMABS(IMPRODUCT(C174,J174))</f>
        <v>8.829454569326373E-3</v>
      </c>
      <c r="AA174" s="28">
        <f>1000*Ported!C$29*IMABS(L174)</f>
        <v>6.6916730453027177E-3</v>
      </c>
      <c r="AB174" s="41" t="str">
        <f t="shared" si="27"/>
        <v>0.112575781233019+0.0209343694809239i</v>
      </c>
      <c r="AC174" s="28">
        <f>20*LOG10(Ported!C$29*50000*IMABS(AB174))</f>
        <v>104.98317575733552</v>
      </c>
      <c r="AD174" s="28">
        <f t="shared" si="28"/>
        <v>177483.82832178471</v>
      </c>
      <c r="AE174" s="23">
        <f t="shared" si="29"/>
        <v>10.534283129450657</v>
      </c>
      <c r="AG174" s="64"/>
      <c r="AH174" s="1"/>
      <c r="AI174" s="1"/>
      <c r="AJ174" s="1"/>
      <c r="AK174" s="2"/>
      <c r="AL174" s="2"/>
      <c r="AM174" s="2"/>
      <c r="AN174" s="2"/>
      <c r="AO174" s="2"/>
      <c r="AP174" s="2"/>
      <c r="AQ174" s="3"/>
      <c r="AR174" s="3"/>
      <c r="AS174" s="2"/>
      <c r="AT174" s="8"/>
      <c r="AU174" s="8"/>
    </row>
    <row r="175" spans="2:47" x14ac:dyDescent="0.25">
      <c r="B175" s="25">
        <v>437</v>
      </c>
      <c r="C175" s="17" t="str">
        <f t="shared" si="20"/>
        <v>2745.75197923748i</v>
      </c>
      <c r="D175" s="18" t="str">
        <f>COMPLEX(Ported!C$19,2*PI()*B175*Ported!C$20)</f>
        <v>6</v>
      </c>
      <c r="E175" s="19" t="str">
        <f>IMSUB(COMPLEX(1,0),IMDIV(COMPLEX(Ported!C$41,0),IMSUM(COMPLEX(Ported!C$41,0),IMPRODUCT(C175,COMPLEX(Ported!C$42,0)))))</f>
        <v>0.99990382951923+0.00980618335586041i</v>
      </c>
      <c r="F175" s="19" t="str">
        <f>IMDIV(IMPRODUCT(C175,COMPLEX((Ported!C$42*Ported!C$14/Ported!C$24),0)),IMSUM(COMPLEX(Ported!C$41,0),IMPRODUCT(C175,COMPLEX(Ported!C$42,0))))</f>
        <v>5.80255072052609+0.0569063490081018i</v>
      </c>
      <c r="G175" s="30" t="str">
        <f>IMPRODUCT(F175,IMSUB(COMPLEX(1,0),IMDIV(IMPRODUCT(COMPLEX(Ported!C$41,0),E175),IMSUM(COMPLEX(0-(2*PI()*B175)^2*Ported!C$38,0),IMPRODUCT(C175,COMPLEX(0,0)),IMPRODUCT(COMPLEX(Ported!C$41,0),E175)))))</f>
        <v>5.83002118673781+0.0574464895516388i</v>
      </c>
      <c r="H175" s="32" t="str">
        <f>IMDIV(COMPLEX(Ported!C$18,0),IMPRODUCT(D175,IMSUM(COMPLEX(Ported!C$16-(2*PI()*B175)^2*Ported!C$15,0),IMPRODUCT(C175,IMSUM(COMPLEX(Ported!C$17,0),IMDIV(COMPLEX(Ported!C$18^2,0),D175))),IMPRODUCT(COMPLEX(Ported!C$14*Ported!C$41/Ported!C$24,0),G175))))</f>
        <v>-3.47127658269516E-06-5.95124793425796E-07i</v>
      </c>
      <c r="I175" s="27">
        <f t="shared" si="21"/>
        <v>-170.27163884323937</v>
      </c>
      <c r="J175" s="20" t="str">
        <f>IMPRODUCT(IMDIV(IMPRODUCT(COMPLEX(-Ported!C$41,0),F175),IMSUM(IMPRODUCT(COMPLEX(Ported!C$41,0),E175),COMPLEX(Calculations!C$3-(2*PI()*B175)^2*Ported!C$38,0),IMPRODUCT(COMPLEX(Calculations!C$4,0),C175))),H175)</f>
        <v>-9.52148535768685E-08-1.72913013501019E-08i</v>
      </c>
      <c r="K175" s="27">
        <f t="shared" si="22"/>
        <v>-169.70708945741029</v>
      </c>
      <c r="L175" s="40" t="str">
        <f>IMSUM(IMPRODUCT(COMPLEX(-(Ported!C$14/Ported!C$24),0),H175),IMDIV(IMPRODUCT(COMPLEX(-Ported!C$41,0),J175),IMSUM(COMPLEX(Ported!C$41,0),IMPRODUCT(COMPLEX(Ported!C$42,0),C175))),IMDIV(IMPRODUCT(COMPLEX(Ported!C$42*Ported!C$14/Ported!C$24,0),C175,H175),IMSUM(COMPLEX(Ported!C$41,0),IMPRODUCT(COMPLEX(Ported!C$42,0),C175))))</f>
        <v>3.59823747142453E-08-1.98137576252832E-07i</v>
      </c>
      <c r="M175" s="28">
        <f t="shared" si="23"/>
        <v>-79.707089457415094</v>
      </c>
      <c r="N175" s="39" t="str">
        <f>IMPRODUCT(COMPLEX((Ported!C$10*Ported!C$14)/(2*PI()),0),C175,C175,H175)</f>
        <v>0.112332769451701+0.0192586256445709i</v>
      </c>
      <c r="O175" s="28">
        <f t="shared" si="24"/>
        <v>9.7283611567606716</v>
      </c>
      <c r="P175" s="26" t="str">
        <f>IMPRODUCT(COMPLEX((Ported!C$10*Ported!C$24)/(2*PI()),0),C175,C175,J175)</f>
        <v>0.000530959306967964+0.0000964237935209592i</v>
      </c>
      <c r="Q175" s="23">
        <f t="shared" si="25"/>
        <v>10.292910542589718</v>
      </c>
      <c r="R175" s="41" t="str">
        <f>IMPRODUCT(COMPLEX((Ported!C$10*Ported!C$24)/(2*PI()),0),C175,C175,L175)</f>
        <v>-0.000200653322707821+0.0011049010340239i</v>
      </c>
      <c r="S175" s="33">
        <f t="shared" si="26"/>
        <v>100.29291054258489</v>
      </c>
      <c r="T175" s="38">
        <f>IMABS(IMDIV(D175,IMSUB(COMPLEX(1,0),IMPRODUCT(COMPLEX(Ported!C$18,0),IMPRODUCT(C175,H175)))))</f>
        <v>6.0859026219863637</v>
      </c>
      <c r="U175" s="21">
        <f>20*LOG10(Ported!C$29*50000*IMABS(N175))</f>
        <v>104.9425736036173</v>
      </c>
      <c r="V175" s="22">
        <f>20*LOG10(Ported!C$29*50000*IMABS(P175))</f>
        <v>58.448776348666662</v>
      </c>
      <c r="W175" s="22">
        <f>20*LOG10(Ported!C$29*50000*IMABS(R175))</f>
        <v>64.814019193397286</v>
      </c>
      <c r="X175" s="28">
        <f>1000*Ported!C$29*IMABS(H175)</f>
        <v>0.10917958226068868</v>
      </c>
      <c r="Y175" s="28">
        <f>1000*Ported!C$29*IMABS(J175)</f>
        <v>2.9999379999804676E-3</v>
      </c>
      <c r="Z175" s="28">
        <f>Ported!C$29*IMABS(IMPRODUCT(C175,J175))</f>
        <v>8.2370857010361075E-3</v>
      </c>
      <c r="AA175" s="28">
        <f>1000*Ported!C$29*IMABS(L175)</f>
        <v>6.2427281237692608E-3</v>
      </c>
      <c r="AB175" s="41" t="str">
        <f t="shared" si="27"/>
        <v>0.112663075435961+0.0204599504721158i</v>
      </c>
      <c r="AC175" s="28">
        <f>20*LOG10(Ported!C$29*50000*IMABS(AB175))</f>
        <v>104.98318363869701</v>
      </c>
      <c r="AD175" s="28">
        <f t="shared" si="28"/>
        <v>177483.98936629534</v>
      </c>
      <c r="AE175" s="23">
        <f t="shared" si="29"/>
        <v>10.292910542589828</v>
      </c>
      <c r="AG175" s="64"/>
      <c r="AH175" s="1"/>
      <c r="AI175" s="1"/>
      <c r="AJ175" s="1"/>
      <c r="AK175" s="2"/>
      <c r="AL175" s="2"/>
      <c r="AM175" s="2"/>
      <c r="AN175" s="2"/>
      <c r="AO175" s="2"/>
      <c r="AP175" s="2"/>
      <c r="AQ175" s="3"/>
      <c r="AR175" s="3"/>
      <c r="AS175" s="2"/>
      <c r="AT175" s="8"/>
      <c r="AU175" s="8"/>
    </row>
    <row r="176" spans="2:47" x14ac:dyDescent="0.25">
      <c r="B176" s="25">
        <v>447</v>
      </c>
      <c r="C176" s="17" t="str">
        <f t="shared" si="20"/>
        <v>2808.58383230927i</v>
      </c>
      <c r="D176" s="18" t="str">
        <f>COMPLEX(Ported!C$19,2*PI()*B176*Ported!C$20)</f>
        <v>6</v>
      </c>
      <c r="E176" s="19" t="str">
        <f>IMSUB(COMPLEX(1,0),IMDIV(COMPLEX(Ported!C$41,0),IMSUM(COMPLEX(Ported!C$41,0),IMPRODUCT(C176,COMPLEX(Ported!C$42,0)))))</f>
        <v>0.999908083926728+0.00958684644225053i</v>
      </c>
      <c r="F176" s="19" t="str">
        <f>IMDIV(IMPRODUCT(C176,COMPLEX((Ported!C$42*Ported!C$14/Ported!C$24),0)),IMSUM(COMPLEX(Ported!C$41,0),IMPRODUCT(C176,COMPLEX(Ported!C$42,0))))</f>
        <v>5.80257540931572+0.0556335130327492i</v>
      </c>
      <c r="G176" s="30" t="str">
        <f>IMPRODUCT(F176,IMSUB(COMPLEX(1,0),IMDIV(IMPRODUCT(COMPLEX(Ported!C$41,0),E176),IMSUM(COMPLEX(0-(2*PI()*B176)^2*Ported!C$38,0),IMPRODUCT(C176,COMPLEX(0,0)),IMPRODUCT(COMPLEX(Ported!C$41,0),E176)))))</f>
        <v>5.82882535936179+0.056138053129135i</v>
      </c>
      <c r="H176" s="32" t="str">
        <f>IMDIV(COMPLEX(Ported!C$18,0),IMPRODUCT(D176,IMSUM(COMPLEX(Ported!C$16-(2*PI()*B176)^2*Ported!C$15,0),IMPRODUCT(C176,IMSUM(COMPLEX(Ported!C$17,0),IMDIV(COMPLEX(Ported!C$18^2,0),D176))),IMPRODUCT(COMPLEX(Ported!C$14*Ported!C$41/Ported!C$24,0),G176))))</f>
        <v>-3.32052886962068E-06-5.56294712530616E-07i</v>
      </c>
      <c r="I176" s="27">
        <f t="shared" si="21"/>
        <v>-170.48944680520606</v>
      </c>
      <c r="J176" s="20" t="str">
        <f>IMPRODUCT(IMDIV(IMPRODUCT(COMPLEX(-Ported!C$41,0),F176),IMSUM(IMPRODUCT(COMPLEX(Ported!C$41,0),E176),COMPLEX(Calculations!C$3-(2*PI()*B176)^2*Ported!C$38,0),IMPRODUCT(COMPLEX(Calculations!C$4,0),C176))),H176)</f>
        <v>-8.70391134616028E-08-1.54450374027157E-08i</v>
      </c>
      <c r="K176" s="27">
        <f t="shared" si="22"/>
        <v>-169.93764196115623</v>
      </c>
      <c r="L176" s="40" t="str">
        <f>IMSUM(IMPRODUCT(COMPLEX(-(Ported!C$14/Ported!C$24),0),H176),IMDIV(IMPRODUCT(COMPLEX(-Ported!C$41,0),J176),IMSUM(COMPLEX(Ported!C$41,0),IMPRODUCT(COMPLEX(Ported!C$42,0),C176))),IMDIV(IMPRODUCT(COMPLEX(Ported!C$42*Ported!C$14/Ported!C$24,0),C176,H176),IMSUM(COMPLEX(Ported!C$41,0),IMPRODUCT(COMPLEX(Ported!C$42,0),C176))))</f>
        <v>3.28758653287023E-08-1.85268970082557E-07i</v>
      </c>
      <c r="M176" s="28">
        <f t="shared" si="23"/>
        <v>-79.937641961137004</v>
      </c>
      <c r="N176" s="39" t="str">
        <f>IMPRODUCT(COMPLEX((Ported!C$10*Ported!C$14)/(2*PI()),0),C176,C176,H176)</f>
        <v>0.112428568323076+0.0188353785048281i</v>
      </c>
      <c r="O176" s="28">
        <f t="shared" si="24"/>
        <v>9.5105531947939816</v>
      </c>
      <c r="P176" s="26" t="str">
        <f>IMPRODUCT(COMPLEX((Ported!C$10*Ported!C$24)/(2*PI()),0),C176,C176,J176)</f>
        <v>0.000507835626673274+0.0000901151210812878i</v>
      </c>
      <c r="Q176" s="23">
        <f t="shared" si="25"/>
        <v>10.062358038843776</v>
      </c>
      <c r="R176" s="41" t="str">
        <f>IMPRODUCT(COMPLEX((Ported!C$10*Ported!C$24)/(2*PI()),0),C176,C176,L176)</f>
        <v>-0.000191816472016261+0.00108096440534741i</v>
      </c>
      <c r="S176" s="33">
        <f t="shared" si="26"/>
        <v>100.06235803886302</v>
      </c>
      <c r="T176" s="38">
        <f>IMABS(IMDIV(D176,IMSUB(COMPLEX(1,0),IMPRODUCT(COMPLEX(Ported!C$18,0),IMPRODUCT(C176,H176)))))</f>
        <v>6.0820567375718131</v>
      </c>
      <c r="U176" s="21">
        <f>20*LOG10(Ported!C$29*50000*IMABS(N176))</f>
        <v>104.94438158175706</v>
      </c>
      <c r="V176" s="22">
        <f>20*LOG10(Ported!C$29*50000*IMABS(P176))</f>
        <v>58.055740264930591</v>
      </c>
      <c r="W176" s="22">
        <f>20*LOG10(Ported!C$29*50000*IMABS(R176))</f>
        <v>64.617504832891555</v>
      </c>
      <c r="X176" s="28">
        <f>1000*Ported!C$29*IMABS(H176)</f>
        <v>0.10437095441600661</v>
      </c>
      <c r="Y176" s="28">
        <f>1000*Ported!C$29*IMABS(J176)</f>
        <v>2.7403643098871879E-3</v>
      </c>
      <c r="Z176" s="28">
        <f>Ported!C$29*IMABS(IMPRODUCT(C176,J176))</f>
        <v>7.6965428953865139E-3</v>
      </c>
      <c r="AA176" s="28">
        <f>1000*Ported!C$29*IMABS(L176)</f>
        <v>5.8330611739031545E-3</v>
      </c>
      <c r="AB176" s="41" t="str">
        <f t="shared" si="27"/>
        <v>0.112744587477733+0.0200064580312568i</v>
      </c>
      <c r="AC176" s="28">
        <f>20*LOG10(Ported!C$29*50000*IMABS(AB176))</f>
        <v>104.98319100142152</v>
      </c>
      <c r="AD176" s="28">
        <f t="shared" si="28"/>
        <v>177484.13981332173</v>
      </c>
      <c r="AE176" s="23">
        <f t="shared" si="29"/>
        <v>10.062358038843874</v>
      </c>
      <c r="AG176" s="64"/>
      <c r="AH176" s="1"/>
      <c r="AI176" s="1"/>
      <c r="AJ176" s="1"/>
      <c r="AK176" s="2"/>
      <c r="AL176" s="2"/>
      <c r="AM176" s="2"/>
      <c r="AN176" s="2"/>
      <c r="AO176" s="2"/>
      <c r="AP176" s="2"/>
      <c r="AQ176" s="3"/>
      <c r="AR176" s="3"/>
      <c r="AS176" s="2"/>
      <c r="AT176" s="8"/>
      <c r="AU176" s="8"/>
    </row>
    <row r="177" spans="2:47" x14ac:dyDescent="0.25">
      <c r="B177" s="25">
        <v>457</v>
      </c>
      <c r="C177" s="17" t="str">
        <f t="shared" si="20"/>
        <v>2871.41568538107i</v>
      </c>
      <c r="D177" s="18" t="str">
        <f>COMPLEX(Ported!C$19,2*PI()*B177*Ported!C$20)</f>
        <v>6</v>
      </c>
      <c r="E177" s="19" t="str">
        <f>IMSUB(COMPLEX(1,0),IMDIV(COMPLEX(Ported!C$41,0),IMSUM(COMPLEX(Ported!C$41,0),IMPRODUCT(C177,COMPLEX(Ported!C$42,0)))))</f>
        <v>0.999912062151345+0.00937710592827146i</v>
      </c>
      <c r="F177" s="19" t="str">
        <f>IMDIV(IMPRODUCT(C177,COMPLEX((Ported!C$42*Ported!C$14/Ported!C$24),0)),IMSUM(COMPLEX(Ported!C$41,0),IMPRODUCT(C177,COMPLEX(Ported!C$42,0))))</f>
        <v>5.80259849538604+0.0544163660086219i</v>
      </c>
      <c r="G177" s="30" t="str">
        <f>IMPRODUCT(F177,IMSUB(COMPLEX(1,0),IMDIV(IMPRODUCT(COMPLEX(Ported!C$41,0),E177),IMSUM(COMPLEX(0-(2*PI()*B177)^2*Ported!C$38,0),IMPRODUCT(C177,COMPLEX(0,0)),IMPRODUCT(COMPLEX(Ported!C$41,0),E177)))))</f>
        <v>5.82770760479617+0.0548883697869296i</v>
      </c>
      <c r="H177" s="32" t="str">
        <f>IMDIV(COMPLEX(Ported!C$18,0),IMPRODUCT(D177,IMSUM(COMPLEX(Ported!C$16-(2*PI()*B177)^2*Ported!C$15,0),IMPRODUCT(C177,IMSUM(COMPLEX(Ported!C$17,0),IMDIV(COMPLEX(Ported!C$18^2,0),D177))),IMPRODUCT(COMPLEX(Ported!C$14*Ported!C$41/Ported!C$24,0),G177))))</f>
        <v>-3.17933243857266E-06-5.20766031378696E-07i</v>
      </c>
      <c r="I177" s="27">
        <f t="shared" si="21"/>
        <v>-170.69771179080465</v>
      </c>
      <c r="J177" s="20" t="str">
        <f>IMPRODUCT(IMDIV(IMPRODUCT(COMPLEX(-Ported!C$41,0),F177),IMSUM(IMPRODUCT(COMPLEX(Ported!C$41,0),E177),COMPLEX(Calculations!C$3-(2*PI()*B177)^2*Ported!C$38,0),IMPRODUCT(COMPLEX(Calculations!C$4,0),C177))),H177)</f>
        <v>-7.97211011244875E-08-1.3830291178575E-08i</v>
      </c>
      <c r="K177" s="27">
        <f t="shared" si="22"/>
        <v>-170.15808640822164</v>
      </c>
      <c r="L177" s="40" t="str">
        <f>IMSUM(IMPRODUCT(COMPLEX(-(Ported!C$14/Ported!C$24),0),H177),IMDIV(IMPRODUCT(COMPLEX(-Ported!C$41,0),J177),IMSUM(COMPLEX(Ported!C$41,0),IMPRODUCT(COMPLEX(Ported!C$42,0),C177))),IMDIV(IMPRODUCT(COMPLEX(Ported!C$42*Ported!C$14/Ported!C$24,0),C177,H177),IMSUM(COMPLEX(Ported!C$41,0),IMPRODUCT(COMPLEX(Ported!C$42,0),C177))))</f>
        <v>3.00973479457256E-08-1.7348830101853E-07i</v>
      </c>
      <c r="M177" s="28">
        <f t="shared" si="23"/>
        <v>-80.158086408231554</v>
      </c>
      <c r="N177" s="39" t="str">
        <f>IMPRODUCT(COMPLEX((Ported!C$10*Ported!C$14)/(2*PI()),0),C177,C177,H177)</f>
        <v>0.112518184182313+0.0184301734300129i</v>
      </c>
      <c r="O177" s="28">
        <f t="shared" si="24"/>
        <v>9.3022882091953019</v>
      </c>
      <c r="P177" s="26" t="str">
        <f>IMPRODUCT(COMPLEX((Ported!C$10*Ported!C$24)/(2*PI()),0),C177,C177,J177)</f>
        <v>0.000486182529379837+0.0000843446195852136i</v>
      </c>
      <c r="Q177" s="23">
        <f t="shared" si="25"/>
        <v>9.841913591778356</v>
      </c>
      <c r="R177" s="41" t="str">
        <f>IMPRODUCT(COMPLEX((Ported!C$10*Ported!C$24)/(2*PI()),0),C177,C177,L177)</f>
        <v>-0.000183549957859065+0.00105802579012661i</v>
      </c>
      <c r="S177" s="33">
        <f t="shared" si="26"/>
        <v>99.841913591768488</v>
      </c>
      <c r="T177" s="38">
        <f>IMABS(IMDIV(D177,IMSUB(COMPLEX(1,0),IMPRODUCT(COMPLEX(Ported!C$18,0),IMPRODUCT(C177,H177)))))</f>
        <v>6.0784643865822225</v>
      </c>
      <c r="U177" s="21">
        <f>20*LOG10(Ported!C$29*50000*IMABS(N177))</f>
        <v>104.94607185091282</v>
      </c>
      <c r="V177" s="22">
        <f>20*LOG10(Ported!C$29*50000*IMABS(P177))</f>
        <v>57.671400075942081</v>
      </c>
      <c r="W177" s="22">
        <f>20*LOG10(Ported!C$29*50000*IMABS(R177))</f>
        <v>64.425338182660539</v>
      </c>
      <c r="X177" s="28">
        <f>1000*Ported!C$29*IMABS(H177)</f>
        <v>9.9872705409620094E-2</v>
      </c>
      <c r="Y177" s="28">
        <f>1000*Ported!C$29*IMABS(J177)</f>
        <v>2.5082680105523252E-3</v>
      </c>
      <c r="Z177" s="28">
        <f>Ported!C$29*IMABS(IMPRODUCT(C177,J177))</f>
        <v>7.202280108639522E-3</v>
      </c>
      <c r="AA177" s="28">
        <f>1000*Ported!C$29*IMABS(L177)</f>
        <v>5.4584689562971163E-3</v>
      </c>
      <c r="AB177" s="41" t="str">
        <f t="shared" si="27"/>
        <v>0.112820816753834+0.0195725438397247i</v>
      </c>
      <c r="AC177" s="28">
        <f>20*LOG10(Ported!C$29*50000*IMABS(AB177))</f>
        <v>104.98319788994968</v>
      </c>
      <c r="AD177" s="28">
        <f t="shared" si="28"/>
        <v>177484.28057092213</v>
      </c>
      <c r="AE177" s="23">
        <f t="shared" si="29"/>
        <v>9.8419135917782352</v>
      </c>
      <c r="AG177" s="64"/>
      <c r="AH177" s="1"/>
      <c r="AI177" s="1"/>
      <c r="AJ177" s="1"/>
      <c r="AK177" s="2"/>
      <c r="AL177" s="2"/>
      <c r="AM177" s="2"/>
      <c r="AN177" s="2"/>
      <c r="AO177" s="2"/>
      <c r="AP177" s="2"/>
      <c r="AQ177" s="3"/>
      <c r="AR177" s="3"/>
      <c r="AS177" s="2"/>
      <c r="AT177" s="8"/>
      <c r="AU177" s="8"/>
    </row>
    <row r="178" spans="2:47" x14ac:dyDescent="0.25">
      <c r="B178" s="25">
        <v>468</v>
      </c>
      <c r="C178" s="17" t="str">
        <f t="shared" si="20"/>
        <v>2940.53072376005i</v>
      </c>
      <c r="D178" s="18" t="str">
        <f>COMPLEX(Ported!C$19,2*PI()*B178*Ported!C$20)</f>
        <v>6</v>
      </c>
      <c r="E178" s="19" t="str">
        <f>IMSUB(COMPLEX(1,0),IMDIV(COMPLEX(Ported!C$41,0),IMSUM(COMPLEX(Ported!C$41,0),IMPRODUCT(C178,COMPLEX(Ported!C$42,0)))))</f>
        <v>0.999916147057936+0.0091567412734243i</v>
      </c>
      <c r="F178" s="19" t="str">
        <f>IMDIV(IMPRODUCT(C178,COMPLEX((Ported!C$42*Ported!C$14/Ported!C$24),0)),IMSUM(COMPLEX(Ported!C$41,0),IMPRODUCT(C178,COMPLEX(Ported!C$42,0))))</f>
        <v>5.80262220054345+0.0531375659390425i</v>
      </c>
      <c r="G178" s="30" t="str">
        <f>IMPRODUCT(F178,IMSUB(COMPLEX(1,0),IMDIV(IMPRODUCT(COMPLEX(Ported!C$41,0),E178),IMSUM(COMPLEX(0-(2*PI()*B178)^2*Ported!C$38,0),IMPRODUCT(C178,COMPLEX(0,0)),IMPRODUCT(COMPLEX(Ported!C$41,0),E178)))))</f>
        <v>5.82656032166983+0.0535769345590085i</v>
      </c>
      <c r="H178" s="32" t="str">
        <f>IMDIV(COMPLEX(Ported!C$18,0),IMPRODUCT(D178,IMSUM(COMPLEX(Ported!C$16-(2*PI()*B178)^2*Ported!C$15,0),IMPRODUCT(C178,IMSUM(COMPLEX(Ported!C$17,0),IMDIV(COMPLEX(Ported!C$18^2,0),D178))),IMPRODUCT(COMPLEX(Ported!C$14*Ported!C$41/Ported!C$24,0),G178))))</f>
        <v>-3.03411335398646E-06-4.85089414101153E-07i</v>
      </c>
      <c r="I178" s="27">
        <f t="shared" si="21"/>
        <v>-170.91651231248179</v>
      </c>
      <c r="J178" s="20" t="str">
        <f>IMPRODUCT(IMDIV(IMPRODUCT(COMPLEX(-Ported!C$41,0),F178),IMSUM(IMPRODUCT(COMPLEX(Ported!C$41,0),E178),COMPLEX(Calculations!C$3-(2*PI()*B178)^2*Ported!C$38,0),IMPRODUCT(COMPLEX(Calculations!C$4,0),C178))),H178)</f>
        <v>-7.2536385913838E-08-1.22820563168763E-08i</v>
      </c>
      <c r="K178" s="27">
        <f t="shared" si="22"/>
        <v>-170.38967562915488</v>
      </c>
      <c r="L178" s="40" t="str">
        <f>IMSUM(IMPRODUCT(COMPLEX(-(Ported!C$14/Ported!C$24),0),H178),IMDIV(IMPRODUCT(COMPLEX(-Ported!C$41,0),J178),IMSUM(COMPLEX(Ported!C$41,0),IMPRODUCT(COMPLEX(Ported!C$42,0),C178))),IMDIV(IMPRODUCT(COMPLEX(Ported!C$42*Ported!C$14/Ported!C$24,0),C178,H178),IMSUM(COMPLEX(Ported!C$41,0),IMPRODUCT(COMPLEX(Ported!C$42,0),C178))))</f>
        <v>2.73714397919642E-08-1.61652517179405E-07i</v>
      </c>
      <c r="M178" s="28">
        <f t="shared" si="23"/>
        <v>-80.389675629130991</v>
      </c>
      <c r="N178" s="39" t="str">
        <f>IMPRODUCT(COMPLEX((Ported!C$10*Ported!C$14)/(2*PI()),0),C178,C178,H178)</f>
        <v>0.1126102393846+0.0180039532712561i</v>
      </c>
      <c r="O178" s="28">
        <f t="shared" si="24"/>
        <v>9.0834876875182218</v>
      </c>
      <c r="P178" s="26" t="str">
        <f>IMPRODUCT(COMPLEX((Ported!C$10*Ported!C$24)/(2*PI()),0),C178,C178,J178)</f>
        <v>0.000463918059757396+0.0000785518559350958i</v>
      </c>
      <c r="Q178" s="23">
        <f t="shared" si="25"/>
        <v>9.6103243708451043</v>
      </c>
      <c r="R178" s="41" t="str">
        <f>IMPRODUCT(COMPLEX((Ported!C$10*Ported!C$24)/(2*PI()),0),C178,C178,L178)</f>
        <v>-0.000175058421798651+0.00103387453317359i</v>
      </c>
      <c r="S178" s="33">
        <f t="shared" si="26"/>
        <v>99.610324370868994</v>
      </c>
      <c r="T178" s="38">
        <f>IMABS(IMDIV(D178,IMSUB(COMPLEX(1,0),IMPRODUCT(COMPLEX(Ported!C$18,0),IMPRODUCT(C178,H178)))))</f>
        <v>6.0747795879115802</v>
      </c>
      <c r="U178" s="21">
        <f>20*LOG10(Ported!C$29*50000*IMABS(N178))</f>
        <v>104.94780710466486</v>
      </c>
      <c r="V178" s="22">
        <f>20*LOG10(Ported!C$29*50000*IMABS(P178))</f>
        <v>57.258221032818668</v>
      </c>
      <c r="W178" s="22">
        <f>20*LOG10(Ported!C$29*50000*IMABS(R178))</f>
        <v>64.218752199623083</v>
      </c>
      <c r="X178" s="28">
        <f>1000*Ported!C$29*IMABS(H178)</f>
        <v>9.5252036811377422E-2</v>
      </c>
      <c r="Y178" s="28">
        <f>1000*Ported!C$29*IMABS(J178)</f>
        <v>2.2806344550252858E-3</v>
      </c>
      <c r="Z178" s="28">
        <f>Ported!C$29*IMABS(IMPRODUCT(C178,J178))</f>
        <v>6.7062756846675998E-3</v>
      </c>
      <c r="AA178" s="28">
        <f>1000*Ported!C$29*IMABS(L178)</f>
        <v>5.0825567854851121E-3</v>
      </c>
      <c r="AB178" s="41" t="str">
        <f t="shared" si="27"/>
        <v>0.112899099022559+0.0191163796603648i</v>
      </c>
      <c r="AC178" s="28">
        <f>20*LOG10(Ported!C$29*50000*IMABS(AB178))</f>
        <v>104.98320496699706</v>
      </c>
      <c r="AD178" s="28">
        <f t="shared" si="28"/>
        <v>177484.4251807697</v>
      </c>
      <c r="AE178" s="23">
        <f t="shared" si="29"/>
        <v>9.610324370845122</v>
      </c>
      <c r="AG178" s="64"/>
      <c r="AH178" s="1"/>
      <c r="AI178" s="1"/>
      <c r="AJ178" s="1"/>
      <c r="AK178" s="2"/>
      <c r="AL178" s="2"/>
      <c r="AM178" s="2"/>
      <c r="AN178" s="2"/>
      <c r="AO178" s="2"/>
      <c r="AP178" s="2"/>
      <c r="AQ178" s="3"/>
      <c r="AR178" s="3"/>
      <c r="AS178" s="2"/>
      <c r="AT178" s="8"/>
      <c r="AU178" s="8"/>
    </row>
    <row r="179" spans="2:47" x14ac:dyDescent="0.25">
      <c r="B179" s="25">
        <v>479</v>
      </c>
      <c r="C179" s="17" t="str">
        <f t="shared" si="20"/>
        <v>3009.64576213902i</v>
      </c>
      <c r="D179" s="18" t="str">
        <f>COMPLEX(Ported!C$19,2*PI()*B179*Ported!C$20)</f>
        <v>6</v>
      </c>
      <c r="E179" s="19" t="str">
        <f>IMSUB(COMPLEX(1,0),IMDIV(COMPLEX(Ported!C$41,0),IMSUM(COMPLEX(Ported!C$41,0),IMPRODUCT(C179,COMPLEX(Ported!C$42,0)))))</f>
        <v>0.99991995381513+0.00894649526228869i</v>
      </c>
      <c r="F179" s="19" t="str">
        <f>IMDIV(IMPRODUCT(C179,COMPLEX((Ported!C$42*Ported!C$14/Ported!C$24),0)),IMSUM(COMPLEX(Ported!C$41,0),IMPRODUCT(C179,COMPLEX(Ported!C$42,0))))</f>
        <v>5.80264429156967+0.0519174854599137i</v>
      </c>
      <c r="G179" s="30" t="str">
        <f>IMPRODUCT(F179,IMSUB(COMPLEX(1,0),IMDIV(IMPRODUCT(COMPLEX(Ported!C$41,0),E179),IMSUM(COMPLEX(0-(2*PI()*B179)^2*Ported!C$38,0),IMPRODUCT(C179,COMPLEX(0,0)),IMPRODUCT(COMPLEX(Ported!C$41,0),E179)))))</f>
        <v>5.82549156560209+0.0523271621770288i</v>
      </c>
      <c r="H179" s="32" t="str">
        <f>IMDIV(COMPLEX(Ported!C$18,0),IMPRODUCT(D179,IMSUM(COMPLEX(Ported!C$16-(2*PI()*B179)^2*Ported!C$15,0),IMPRODUCT(C179,IMSUM(COMPLEX(Ported!C$17,0),IMDIV(COMPLEX(Ported!C$18^2,0),D179))),IMPRODUCT(COMPLEX(Ported!C$14*Ported!C$41/Ported!C$24,0),G179))))</f>
        <v>-2.89856690917923E-06-4.52594685644744E-07i</v>
      </c>
      <c r="I179" s="27">
        <f t="shared" si="21"/>
        <v>-171.12525307384345</v>
      </c>
      <c r="J179" s="20" t="str">
        <f>IMPRODUCT(IMDIV(IMPRODUCT(COMPLEX(-Ported!C$41,0),F179),IMSUM(IMPRODUCT(COMPLEX(Ported!C$41,0),E179),COMPLEX(Calculations!C$3-(2*PI()*B179)^2*Ported!C$38,0),IMPRODUCT(COMPLEX(Calculations!C$4,0),C179))),H179)</f>
        <v>-6.61420786939413E-08-1.09371658689494E-08i</v>
      </c>
      <c r="K179" s="27">
        <f t="shared" si="22"/>
        <v>-170.61061068137536</v>
      </c>
      <c r="L179" s="40" t="str">
        <f>IMSUM(IMPRODUCT(COMPLEX(-(Ported!C$14/Ported!C$24),0),H179),IMDIV(IMPRODUCT(COMPLEX(-Ported!C$41,0),J179),IMSUM(COMPLEX(Ported!C$41,0),IMPRODUCT(COMPLEX(Ported!C$42,0),C179))),IMDIV(IMPRODUCT(COMPLEX(Ported!C$42*Ported!C$14/Ported!C$24,0),C179,H179),IMSUM(COMPLEX(Ported!C$41,0),IMPRODUCT(COMPLEX(Ported!C$42,0),C179))))</f>
        <v>2.49471545295863E-08-1.50866931878082E-07i</v>
      </c>
      <c r="M179" s="28">
        <f t="shared" si="23"/>
        <v>-80.61061068139918</v>
      </c>
      <c r="N179" s="39" t="str">
        <f>IMPRODUCT(COMPLEX((Ported!C$10*Ported!C$14)/(2*PI()),0),C179,C179,H179)</f>
        <v>0.112696059352327+0.0175968467018795i</v>
      </c>
      <c r="O179" s="28">
        <f t="shared" si="24"/>
        <v>8.8747469261565044</v>
      </c>
      <c r="P179" s="26" t="str">
        <f>IMPRODUCT(COMPLEX((Ported!C$10*Ported!C$24)/(2*PI()),0),C179,C179,J179)</f>
        <v>0.00044314160513519+0.0000732773044709286i</v>
      </c>
      <c r="Q179" s="23">
        <f t="shared" si="25"/>
        <v>9.3893893186246515</v>
      </c>
      <c r="R179" s="41" t="str">
        <f>IMPRODUCT(COMPLEX((Ported!C$10*Ported!C$24)/(2*PI()),0),C179,C179,L179)</f>
        <v>-0.000167142042102302+0.00101078489933215i</v>
      </c>
      <c r="S179" s="33">
        <f t="shared" si="26"/>
        <v>99.389389318600834</v>
      </c>
      <c r="T179" s="38">
        <f>IMABS(IMDIV(D179,IMSUB(COMPLEX(1,0),IMPRODUCT(COMPLEX(Ported!C$18,0),IMPRODUCT(C179,H179)))))</f>
        <v>6.0713492340602722</v>
      </c>
      <c r="U179" s="21">
        <f>20*LOG10(Ported!C$29*50000*IMABS(N179))</f>
        <v>104.94942388930392</v>
      </c>
      <c r="V179" s="22">
        <f>20*LOG10(Ported!C$29*50000*IMABS(P179))</f>
        <v>56.854641217821097</v>
      </c>
      <c r="W179" s="22">
        <f>20*LOG10(Ported!C$29*50000*IMABS(R179))</f>
        <v>64.016965591433191</v>
      </c>
      <c r="X179" s="28">
        <f>1000*Ported!C$29*IMABS(H179)</f>
        <v>9.0944363901677011E-2</v>
      </c>
      <c r="Y179" s="28">
        <f>1000*Ported!C$29*IMABS(J179)</f>
        <v>2.0782479930276892E-3</v>
      </c>
      <c r="Z179" s="28">
        <f>Ported!C$29*IMABS(IMPRODUCT(C179,J179))</f>
        <v>6.2547902648897079E-3</v>
      </c>
      <c r="AA179" s="28">
        <f>1000*Ported!C$29*IMABS(L179)</f>
        <v>4.7403847079055894E-3</v>
      </c>
      <c r="AB179" s="41" t="str">
        <f t="shared" si="27"/>
        <v>0.11297205891536+0.0186809089056826i</v>
      </c>
      <c r="AC179" s="28">
        <f>20*LOG10(Ported!C$29*50000*IMABS(AB179))</f>
        <v>104.98321156561721</v>
      </c>
      <c r="AD179" s="28">
        <f t="shared" si="28"/>
        <v>177484.5600147123</v>
      </c>
      <c r="AE179" s="23">
        <f t="shared" si="29"/>
        <v>9.3893893186245823</v>
      </c>
      <c r="AG179" s="64"/>
      <c r="AH179" s="1"/>
      <c r="AI179" s="1"/>
      <c r="AJ179" s="1"/>
      <c r="AK179" s="2"/>
      <c r="AL179" s="2"/>
      <c r="AM179" s="2"/>
      <c r="AN179" s="2"/>
      <c r="AO179" s="2"/>
      <c r="AP179" s="2"/>
      <c r="AQ179" s="3"/>
      <c r="AR179" s="3"/>
      <c r="AS179" s="2"/>
      <c r="AT179" s="8"/>
      <c r="AU179" s="8"/>
    </row>
    <row r="180" spans="2:47" x14ac:dyDescent="0.25">
      <c r="B180" s="25">
        <v>490</v>
      </c>
      <c r="C180" s="17" t="str">
        <f t="shared" si="20"/>
        <v>3078.760800518i</v>
      </c>
      <c r="D180" s="18" t="str">
        <f>COMPLEX(Ported!C$19,2*PI()*B180*Ported!C$20)</f>
        <v>6</v>
      </c>
      <c r="E180" s="19" t="str">
        <f>IMSUB(COMPLEX(1,0),IMDIV(COMPLEX(Ported!C$41,0),IMSUM(COMPLEX(Ported!C$41,0),IMPRODUCT(C180,COMPLEX(Ported!C$42,0)))))</f>
        <v>0.999923507113838+0.00874568665114143i</v>
      </c>
      <c r="F180" s="19" t="str">
        <f>IMDIV(IMPRODUCT(C180,COMPLEX((Ported!C$42*Ported!C$14/Ported!C$24),0)),IMSUM(COMPLEX(Ported!C$41,0),IMPRODUCT(C180,COMPLEX(Ported!C$42,0))))</f>
        <v>5.80266491174869+0.0507521712397844i</v>
      </c>
      <c r="G180" s="30" t="str">
        <f>IMPRODUCT(F180,IMSUB(COMPLEX(1,0),IMDIV(IMPRODUCT(COMPLEX(Ported!C$41,0),E180),IMSUM(COMPLEX(0-(2*PI()*B180)^2*Ported!C$38,0),IMPRODUCT(C180,COMPLEX(0,0)),IMPRODUCT(COMPLEX(Ported!C$41,0),E180)))))</f>
        <v>5.82449432208975+0.0511347745668414i</v>
      </c>
      <c r="H180" s="32" t="str">
        <f>IMDIV(COMPLEX(Ported!C$18,0),IMPRODUCT(D180,IMSUM(COMPLEX(Ported!C$16-(2*PI()*B180)^2*Ported!C$15,0),IMPRODUCT(C180,IMSUM(COMPLEX(Ported!C$17,0),IMDIV(COMPLEX(Ported!C$18^2,0),D180))),IMPRODUCT(COMPLEX(Ported!C$14*Ported!C$41/Ported!C$24,0),G180))))</f>
        <v>-2.77185750441466E-06-4.22935296863046E-07i</v>
      </c>
      <c r="I180" s="27">
        <f t="shared" si="21"/>
        <v>-171.32461247961632</v>
      </c>
      <c r="J180" s="20" t="str">
        <f>IMPRODUCT(IMDIV(IMPRODUCT(COMPLEX(-Ported!C$41,0),F180),IMSUM(IMPRODUCT(COMPLEX(Ported!C$41,0),E180),COMPLEX(Calculations!C$3-(2*PI()*B180)^2*Ported!C$38,0),IMPRODUCT(COMPLEX(Calculations!C$4,0),C180))),H180)</f>
        <v>-6.04362242213214E-08-9.76514073064902E-09i</v>
      </c>
      <c r="K180" s="27">
        <f t="shared" si="22"/>
        <v>-170.82161061569232</v>
      </c>
      <c r="L180" s="40" t="str">
        <f>IMSUM(IMPRODUCT(COMPLEX(-(Ported!C$14/Ported!C$24),0),H180),IMDIV(IMPRODUCT(COMPLEX(-Ported!C$41,0),J180),IMSUM(COMPLEX(Ported!C$41,0),IMPRODUCT(COMPLEX(Ported!C$42,0),C180))),IMDIV(IMPRODUCT(COMPLEX(Ported!C$42*Ported!C$14/Ported!C$24,0),C180,H180),IMSUM(COMPLEX(Ported!C$41,0),IMPRODUCT(COMPLEX(Ported!C$42,0),C180))))</f>
        <v>2.27853283715545E-08-1.41017856516409E-07i</v>
      </c>
      <c r="M180" s="28">
        <f t="shared" si="23"/>
        <v>-80.821610615675951</v>
      </c>
      <c r="N180" s="39" t="str">
        <f>IMPRODUCT(COMPLEX((Ported!C$10*Ported!C$14)/(2*PI()),0),C180,C180,H180)</f>
        <v>0.112776194043224+0.0172076064627384i</v>
      </c>
      <c r="O180" s="28">
        <f t="shared" si="24"/>
        <v>8.6753875203837225</v>
      </c>
      <c r="P180" s="26" t="str">
        <f>IMPRODUCT(COMPLEX((Ported!C$10*Ported!C$24)/(2*PI()),0),C180,C180,J180)</f>
        <v>0.00042372407841888+0.0000684643243358869i</v>
      </c>
      <c r="Q180" s="23">
        <f t="shared" si="25"/>
        <v>9.178389384307696</v>
      </c>
      <c r="R180" s="41" t="str">
        <f>IMPRODUCT(COMPLEX((Ported!C$10*Ported!C$24)/(2*PI()),0),C180,C180,L180)</f>
        <v>-0.000159750090117351+0.000988689516310668i</v>
      </c>
      <c r="S180" s="33">
        <f t="shared" si="26"/>
        <v>99.178389384324078</v>
      </c>
      <c r="T180" s="38">
        <f>IMABS(IMDIV(D180,IMSUB(COMPLEX(1,0),IMPRODUCT(COMPLEX(Ported!C$18,0),IMPRODUCT(C180,H180)))))</f>
        <v>6.0681503542069581</v>
      </c>
      <c r="U180" s="21">
        <f>20*LOG10(Ported!C$29*50000*IMABS(N180))</f>
        <v>104.95093275475475</v>
      </c>
      <c r="V180" s="22">
        <f>20*LOG10(Ported!C$29*50000*IMABS(P180))</f>
        <v>56.460224715555867</v>
      </c>
      <c r="W180" s="22">
        <f>20*LOG10(Ported!C$29*50000*IMABS(R180))</f>
        <v>63.819760421447704</v>
      </c>
      <c r="X180" s="28">
        <f>1000*Ported!C$29*IMABS(H180)</f>
        <v>8.6922077901981351E-2</v>
      </c>
      <c r="Y180" s="28">
        <f>1000*Ported!C$29*IMABS(J180)</f>
        <v>1.8978217144732185E-3</v>
      </c>
      <c r="Z180" s="28">
        <f>Ported!C$29*IMABS(IMPRODUCT(C180,J180))</f>
        <v>5.8429391008920153E-3</v>
      </c>
      <c r="AA180" s="28">
        <f>1000*Ported!C$29*IMABS(L180)</f>
        <v>4.4282506671041418E-3</v>
      </c>
      <c r="AB180" s="41" t="str">
        <f t="shared" si="27"/>
        <v>0.113040168031526+0.018264760303385i</v>
      </c>
      <c r="AC180" s="28">
        <f>20*LOG10(Ported!C$29*50000*IMABS(AB180))</f>
        <v>104.98321772790995</v>
      </c>
      <c r="AD180" s="28">
        <f t="shared" si="28"/>
        <v>177484.68593298321</v>
      </c>
      <c r="AE180" s="23">
        <f t="shared" si="29"/>
        <v>9.1783893843076996</v>
      </c>
      <c r="AG180" s="64"/>
      <c r="AH180" s="1"/>
      <c r="AI180" s="1"/>
      <c r="AJ180" s="1"/>
      <c r="AK180" s="2"/>
      <c r="AL180" s="2"/>
      <c r="AM180" s="2"/>
      <c r="AN180" s="2"/>
      <c r="AO180" s="2"/>
      <c r="AP180" s="2"/>
      <c r="AQ180" s="3"/>
      <c r="AR180" s="3"/>
      <c r="AS180" s="2"/>
      <c r="AT180" s="8"/>
      <c r="AU180" s="8"/>
    </row>
    <row r="181" spans="2:47" x14ac:dyDescent="0.25">
      <c r="B181" s="25">
        <v>501</v>
      </c>
      <c r="C181" s="17" t="str">
        <f t="shared" si="20"/>
        <v>3147.87583889697i</v>
      </c>
      <c r="D181" s="18" t="str">
        <f>COMPLEX(Ported!C$19,2*PI()*B181*Ported!C$20)</f>
        <v>6</v>
      </c>
      <c r="E181" s="19" t="str">
        <f>IMSUB(COMPLEX(1,0),IMDIV(COMPLEX(Ported!C$41,0),IMSUM(COMPLEX(Ported!C$41,0),IMPRODUCT(C181,COMPLEX(Ported!C$42,0)))))</f>
        <v>0.999926828964901+0.00855369400312151i</v>
      </c>
      <c r="F181" s="19" t="str">
        <f>IMDIV(IMPRODUCT(C181,COMPLEX((Ported!C$42*Ported!C$14/Ported!C$24),0)),IMSUM(COMPLEX(Ported!C$41,0),IMPRODUCT(C181,COMPLEX(Ported!C$42,0))))</f>
        <v>5.80268418881186+0.0496380170129331i</v>
      </c>
      <c r="G181" s="30" t="str">
        <f>IMPRODUCT(F181,IMSUB(COMPLEX(1,0),IMDIV(IMPRODUCT(COMPLEX(Ported!C$41,0),E181),IMSUM(COMPLEX(0-(2*PI()*B181)^2*Ported!C$38,0),IMPRODUCT(C181,COMPLEX(0,0)),IMPRODUCT(COMPLEX(Ported!C$41,0),E181)))))</f>
        <v>5.82356234356102+0.0499958828197537i</v>
      </c>
      <c r="H181" s="32" t="str">
        <f>IMDIV(COMPLEX(Ported!C$18,0),IMPRODUCT(D181,IMSUM(COMPLEX(Ported!C$16-(2*PI()*B181)^2*Ported!C$15,0),IMPRODUCT(C181,IMSUM(COMPLEX(Ported!C$17,0),IMDIV(COMPLEX(Ported!C$18^2,0),D181))),IMPRODUCT(COMPLEX(Ported!C$14*Ported!C$41/Ported!C$24,0),G181))))</f>
        <v>-2.65323735301961E-06-3.95808970536211E-07i</v>
      </c>
      <c r="I181" s="27">
        <f t="shared" si="21"/>
        <v>-171.51520925709718</v>
      </c>
      <c r="J181" s="20" t="str">
        <f>IMPRODUCT(IMDIV(IMPRODUCT(COMPLEX(-Ported!C$41,0),F181),IMSUM(IMPRODUCT(COMPLEX(Ported!C$41,0),E181),COMPLEX(Calculations!C$3-(2*PI()*B181)^2*Ported!C$38,0),IMPRODUCT(COMPLEX(Calculations!C$4,0),C181))),H181)</f>
        <v>-5.53318667527148E-08-8.74061156675715E-09i</v>
      </c>
      <c r="K181" s="27">
        <f t="shared" si="22"/>
        <v>-171.023331170045</v>
      </c>
      <c r="L181" s="40" t="str">
        <f>IMSUM(IMPRODUCT(COMPLEX(-(Ported!C$14/Ported!C$24),0),H181),IMDIV(IMPRODUCT(COMPLEX(-Ported!C$41,0),J181),IMSUM(COMPLEX(Ported!C$41,0),IMPRODUCT(COMPLEX(Ported!C$42,0),C181))),IMDIV(IMPRODUCT(COMPLEX(Ported!C$42*Ported!C$14/Ported!C$24,0),C181,H181),IMSUM(COMPLEX(Ported!C$41,0),IMPRODUCT(COMPLEX(Ported!C$42,0),C181))))</f>
        <v>2.0852601880708E-08-1.32006024967199E-07i</v>
      </c>
      <c r="M181" s="28">
        <f t="shared" si="23"/>
        <v>-81.023331170038773</v>
      </c>
      <c r="N181" s="39" t="str">
        <f>IMPRODUCT(COMPLEX((Ported!C$10*Ported!C$14)/(2*PI()),0),C181,C181,H181)</f>
        <v>0.112851134164869+0.016835090606125i</v>
      </c>
      <c r="O181" s="28">
        <f t="shared" si="24"/>
        <v>8.484790742902776</v>
      </c>
      <c r="P181" s="26" t="str">
        <f>IMPRODUCT(COMPLEX((Ported!C$10*Ported!C$24)/(2*PI()),0),C181,C181,J181)</f>
        <v>0.000405550026494578+0.0000640635398823455i</v>
      </c>
      <c r="Q181" s="23">
        <f t="shared" si="25"/>
        <v>8.9766688299549919</v>
      </c>
      <c r="R181" s="41" t="str">
        <f>IMPRODUCT(COMPLEX((Ported!C$10*Ported!C$24)/(2*PI()),0),C181,C181,L181)</f>
        <v>-0.000152837302290855+0.000967526491779979i</v>
      </c>
      <c r="S181" s="33">
        <f t="shared" si="26"/>
        <v>98.976668829961199</v>
      </c>
      <c r="T181" s="38">
        <f>IMABS(IMDIV(D181,IMSUB(COMPLEX(1,0),IMPRODUCT(COMPLEX(Ported!C$18,0),IMPRODUCT(C181,H181)))))</f>
        <v>6.065162519937533</v>
      </c>
      <c r="U181" s="21">
        <f>20*LOG10(Ported!C$29*50000*IMABS(N181))</f>
        <v>104.95234310155431</v>
      </c>
      <c r="V181" s="22">
        <f>20*LOG10(Ported!C$29*50000*IMABS(P181))</f>
        <v>56.074564645548655</v>
      </c>
      <c r="W181" s="22">
        <f>20*LOG10(Ported!C$29*50000*IMABS(R181))</f>
        <v>63.626933268215851</v>
      </c>
      <c r="X181" s="28">
        <f>1000*Ported!C$29*IMABS(H181)</f>
        <v>8.3160544719857621E-2</v>
      </c>
      <c r="Y181" s="28">
        <f>1000*Ported!C$29*IMABS(J181)</f>
        <v>1.736557293012232E-3</v>
      </c>
      <c r="Z181" s="28">
        <f>Ported!C$29*IMABS(IMPRODUCT(C181,J181))</f>
        <v>5.4664667455335166E-3</v>
      </c>
      <c r="AA181" s="28">
        <f>1000*Ported!C$29*IMABS(L181)</f>
        <v>4.1429295419009313E-3</v>
      </c>
      <c r="AB181" s="41" t="str">
        <f t="shared" si="27"/>
        <v>0.113103846889073+0.0178666806377873i</v>
      </c>
      <c r="AC181" s="28">
        <f>20*LOG10(Ported!C$29*50000*IMABS(AB181))</f>
        <v>104.98322349145199</v>
      </c>
      <c r="AD181" s="28">
        <f t="shared" si="28"/>
        <v>177484.80370339402</v>
      </c>
      <c r="AE181" s="23">
        <f t="shared" si="29"/>
        <v>8.9766688299549635</v>
      </c>
      <c r="AG181" s="64"/>
      <c r="AH181" s="1"/>
      <c r="AI181" s="1"/>
      <c r="AJ181" s="1"/>
      <c r="AK181" s="2"/>
      <c r="AL181" s="2"/>
      <c r="AM181" s="2"/>
      <c r="AN181" s="2"/>
      <c r="AO181" s="2"/>
      <c r="AP181" s="2"/>
      <c r="AQ181" s="3"/>
      <c r="AR181" s="3"/>
      <c r="AS181" s="2"/>
      <c r="AT181" s="8"/>
      <c r="AU181" s="8"/>
    </row>
    <row r="182" spans="2:47" x14ac:dyDescent="0.25">
      <c r="B182" s="25">
        <v>513</v>
      </c>
      <c r="C182" s="17" t="str">
        <f t="shared" si="20"/>
        <v>3223.27406258313i</v>
      </c>
      <c r="D182" s="18" t="str">
        <f>COMPLEX(Ported!C$19,2*PI()*B182*Ported!C$20)</f>
        <v>6</v>
      </c>
      <c r="E182" s="19" t="str">
        <f>IMSUB(COMPLEX(1,0),IMDIV(COMPLEX(Ported!C$41,0),IMSUM(COMPLEX(Ported!C$41,0),IMPRODUCT(C182,COMPLEX(Ported!C$42,0)))))</f>
        <v>0.999930211897615+0.00835363585545213i</v>
      </c>
      <c r="F182" s="19" t="str">
        <f>IMDIV(IMPRODUCT(C182,COMPLEX((Ported!C$42*Ported!C$14/Ported!C$24),0)),IMSUM(COMPLEX(Ported!C$41,0),IMPRODUCT(C182,COMPLEX(Ported!C$42,0))))</f>
        <v>5.80270382033851+0.0484770578140229i</v>
      </c>
      <c r="G182" s="30" t="str">
        <f>IMPRODUCT(F182,IMSUB(COMPLEX(1,0),IMDIV(IMPRODUCT(COMPLEX(Ported!C$41,0),E182),IMSUM(COMPLEX(0-(2*PI()*B182)^2*Ported!C$38,0),IMPRODUCT(C182,COMPLEX(0,0)),IMPRODUCT(COMPLEX(Ported!C$41,0),E182)))))</f>
        <v>5.82261353423854+0.0488103121451267i</v>
      </c>
      <c r="H182" s="32" t="str">
        <f>IMDIV(COMPLEX(Ported!C$18,0),IMPRODUCT(D182,IMSUM(COMPLEX(Ported!C$16-(2*PI()*B182)^2*Ported!C$15,0),IMPRODUCT(C182,IMSUM(COMPLEX(Ported!C$17,0),IMDIV(COMPLEX(Ported!C$18^2,0),D182))),IMPRODUCT(COMPLEX(Ported!C$14*Ported!C$41/Ported!C$24,0),G182))))</f>
        <v>-2.53227298725546E-06-3.68795697340413E-07i</v>
      </c>
      <c r="I182" s="27">
        <f t="shared" si="21"/>
        <v>-171.71380243801667</v>
      </c>
      <c r="J182" s="20" t="str">
        <f>IMPRODUCT(IMDIV(IMPRODUCT(COMPLEX(-Ported!C$41,0),F182),IMSUM(IMPRODUCT(COMPLEX(Ported!C$41,0),E182),COMPLEX(Calculations!C$3-(2*PI()*B182)^2*Ported!C$38,0),IMPRODUCT(COMPLEX(Calculations!C$4,0),C182))),H182)</f>
        <v>-5.03623198073781E-08-7.76634127987366E-09i</v>
      </c>
      <c r="K182" s="27">
        <f t="shared" si="22"/>
        <v>-171.23350963478231</v>
      </c>
      <c r="L182" s="40" t="str">
        <f>IMSUM(IMPRODUCT(COMPLEX(-(Ported!C$14/Ported!C$24),0),H182),IMDIV(IMPRODUCT(COMPLEX(-Ported!C$41,0),J182),IMSUM(COMPLEX(Ported!C$41,0),IMPRODUCT(COMPLEX(Ported!C$42,0),C182))),IMDIV(IMPRODUCT(COMPLEX(Ported!C$42*Ported!C$14/Ported!C$24,0),C182,H182),IMSUM(COMPLEX(Ported!C$41,0),IMPRODUCT(COMPLEX(Ported!C$42,0),C182))))</f>
        <v>1.8972062269413E-08-1.23027952672316E-07i</v>
      </c>
      <c r="M182" s="28">
        <f t="shared" si="23"/>
        <v>-81.233509634779438</v>
      </c>
      <c r="N182" s="39" t="str">
        <f>IMPRODUCT(COMPLEX((Ported!C$10*Ported!C$14)/(2*PI()),0),C182,C182,H182)</f>
        <v>0.112927477187881+0.01644655529163i</v>
      </c>
      <c r="O182" s="28">
        <f t="shared" si="24"/>
        <v>8.2861975619832968</v>
      </c>
      <c r="P182" s="26" t="str">
        <f>IMPRODUCT(COMPLEX((Ported!C$10*Ported!C$24)/(2*PI()),0),C182,C182,J182)</f>
        <v>0.000387020631024036+0.0000596822051561727i</v>
      </c>
      <c r="Q182" s="23">
        <f t="shared" si="25"/>
        <v>8.7664903652176829</v>
      </c>
      <c r="R182" s="41" t="str">
        <f>IMPRODUCT(COMPLEX((Ported!C$10*Ported!C$24)/(2*PI()),0),C182,C182,L182)</f>
        <v>-0.000145795101167278+0.000945436112930195i</v>
      </c>
      <c r="S182" s="33">
        <f t="shared" si="26"/>
        <v>98.766490365220548</v>
      </c>
      <c r="T182" s="38">
        <f>IMABS(IMDIV(D182,IMSUB(COMPLEX(1,0),IMPRODUCT(COMPLEX(Ported!C$18,0),IMPRODUCT(C182,H182)))))</f>
        <v>6.0621224074135878</v>
      </c>
      <c r="U182" s="21">
        <f>20*LOG10(Ported!C$29*50000*IMABS(N182))</f>
        <v>104.95377914608385</v>
      </c>
      <c r="V182" s="22">
        <f>20*LOG10(Ported!C$29*50000*IMABS(P182))</f>
        <v>55.663384947906877</v>
      </c>
      <c r="W182" s="22">
        <f>20*LOG10(Ported!C$29*50000*IMABS(R182))</f>
        <v>63.421346355465346</v>
      </c>
      <c r="X182" s="28">
        <f>1000*Ported!C$29*IMABS(H182)</f>
        <v>7.9328610823425072E-2</v>
      </c>
      <c r="Y182" s="28">
        <f>1000*Ported!C$29*IMABS(J182)</f>
        <v>1.5796863043145972E-3</v>
      </c>
      <c r="Z182" s="28">
        <f>Ported!C$29*IMABS(IMPRODUCT(C182,J182))</f>
        <v>5.0917618917150293E-3</v>
      </c>
      <c r="AA182" s="28">
        <f>1000*Ported!C$29*IMABS(L182)</f>
        <v>3.8589479719687552E-3</v>
      </c>
      <c r="AB182" s="41" t="str">
        <f t="shared" si="27"/>
        <v>0.113168702717738+0.0174516736097164i</v>
      </c>
      <c r="AC182" s="28">
        <f>20*LOG10(Ported!C$29*50000*IMABS(AB182))</f>
        <v>104.98322936359301</v>
      </c>
      <c r="AD182" s="28">
        <f t="shared" si="28"/>
        <v>177484.9236929621</v>
      </c>
      <c r="AE182" s="23">
        <f t="shared" si="29"/>
        <v>8.7664903652176829</v>
      </c>
      <c r="AG182" s="64"/>
      <c r="AH182" s="1"/>
      <c r="AI182" s="1"/>
      <c r="AJ182" s="1"/>
      <c r="AK182" s="2"/>
      <c r="AL182" s="2"/>
      <c r="AM182" s="2"/>
      <c r="AN182" s="2"/>
      <c r="AO182" s="2"/>
      <c r="AP182" s="2"/>
      <c r="AQ182" s="3"/>
      <c r="AR182" s="3"/>
      <c r="AS182" s="2"/>
      <c r="AT182" s="8"/>
      <c r="AU182" s="8"/>
    </row>
    <row r="183" spans="2:47" x14ac:dyDescent="0.25">
      <c r="B183" s="25">
        <v>525</v>
      </c>
      <c r="C183" s="17" t="str">
        <f t="shared" si="20"/>
        <v>3298.67228626928i</v>
      </c>
      <c r="D183" s="18" t="str">
        <f>COMPLEX(Ported!C$19,2*PI()*B183*Ported!C$20)</f>
        <v>6</v>
      </c>
      <c r="E183" s="19" t="str">
        <f>IMSUB(COMPLEX(1,0),IMDIV(COMPLEX(Ported!C$41,0),IMSUM(COMPLEX(Ported!C$41,0),IMPRODUCT(C183,COMPLEX(Ported!C$42,0)))))</f>
        <v>0.999933365539989+0.0081627213513469i</v>
      </c>
      <c r="F183" s="19" t="str">
        <f>IMDIV(IMPRODUCT(C183,COMPLEX((Ported!C$42*Ported!C$14/Ported!C$24),0)),IMSUM(COMPLEX(Ported!C$41,0),IMPRODUCT(C183,COMPLEX(Ported!C$42,0))))</f>
        <v>5.80272212126835+0.0473691601736195i</v>
      </c>
      <c r="G183" s="30" t="str">
        <f>IMPRODUCT(F183,IMSUB(COMPLEX(1,0),IMDIV(IMPRODUCT(COMPLEX(Ported!C$41,0),E183),IMSUM(COMPLEX(0-(2*PI()*B183)^2*Ported!C$38,0),IMPRODUCT(C183,COMPLEX(0,0)),IMPRODUCT(COMPLEX(Ported!C$41,0),E183)))))</f>
        <v>5.82172931207864+0.0476800107459351i</v>
      </c>
      <c r="H183" s="32" t="str">
        <f>IMDIV(COMPLEX(Ported!C$18,0),IMPRODUCT(D183,IMSUM(COMPLEX(Ported!C$16-(2*PI()*B183)^2*Ported!C$15,0),IMPRODUCT(C183,IMSUM(COMPLEX(Ported!C$17,0),IMDIV(COMPLEX(Ported!C$18^2,0),D183))),IMPRODUCT(COMPLEX(Ported!C$14*Ported!C$41/Ported!C$24,0),G183))))</f>
        <v>-0.0000024193591607997-3.44183235176991E-07i</v>
      </c>
      <c r="I183" s="27">
        <f t="shared" si="21"/>
        <v>-171.90330920850263</v>
      </c>
      <c r="J183" s="20" t="str">
        <f>IMPRODUCT(IMDIV(IMPRODUCT(COMPLEX(-Ported!C$41,0),F183),IMSUM(IMPRODUCT(COMPLEX(Ported!C$41,0),E183),COMPLEX(Calculations!C$3-(2*PI()*B183)^2*Ported!C$38,0),IMPRODUCT(COMPLEX(Calculations!C$4,0),C183))),H183)</f>
        <v>-4.59377746368059E-08-6.91949942772622E-09i</v>
      </c>
      <c r="K183" s="27">
        <f t="shared" si="22"/>
        <v>-171.43406679652122</v>
      </c>
      <c r="L183" s="40" t="str">
        <f>IMSUM(IMPRODUCT(COMPLEX(-(Ported!C$14/Ported!C$24),0),H183),IMDIV(IMPRODUCT(COMPLEX(-Ported!C$41,0),J183),IMSUM(COMPLEX(Ported!C$41,0),IMPRODUCT(COMPLEX(Ported!C$42,0),C183))),IMDIV(IMPRODUCT(COMPLEX(Ported!C$42*Ported!C$14/Ported!C$24,0),C183,H183),IMSUM(COMPLEX(Ported!C$41,0),IMPRODUCT(COMPLEX(Ported!C$42,0),C183))))</f>
        <v>1.72987485692264E-08-1.14844436592023E-07i</v>
      </c>
      <c r="M183" s="28">
        <f t="shared" si="23"/>
        <v>-81.434066796565318</v>
      </c>
      <c r="N183" s="39" t="str">
        <f>IMPRODUCT(COMPLEX((Ported!C$10*Ported!C$14)/(2*PI()),0),C183,C183,H183)</f>
        <v>0.112998668435851+0.0160754334879688i</v>
      </c>
      <c r="O183" s="28">
        <f t="shared" si="24"/>
        <v>8.0966907914974229</v>
      </c>
      <c r="P183" s="26" t="str">
        <f>IMPRODUCT(COMPLEX((Ported!C$10*Ported!C$24)/(2*PI()),0),C183,C183,J183)</f>
        <v>0.000369727896208625+0.000055691247267782i</v>
      </c>
      <c r="Q183" s="23">
        <f t="shared" si="25"/>
        <v>8.565933203478787</v>
      </c>
      <c r="R183" s="41" t="str">
        <f>IMPRODUCT(COMPLEX((Ported!C$10*Ported!C$24)/(2*PI()),0),C183,C183,L183)</f>
        <v>-0.000139228118168737+0.000924319740521629i</v>
      </c>
      <c r="S183" s="33">
        <f t="shared" si="26"/>
        <v>98.565933203434653</v>
      </c>
      <c r="T183" s="38">
        <f>IMABS(IMDIV(D183,IMSUB(COMPLEX(1,0),IMPRODUCT(COMPLEX(Ported!C$18,0),IMPRODUCT(C183,H183)))))</f>
        <v>6.0592907652816788</v>
      </c>
      <c r="U183" s="21">
        <f>20*LOG10(Ported!C$29*50000*IMABS(N183))</f>
        <v>104.95511764361163</v>
      </c>
      <c r="V183" s="22">
        <f>20*LOG10(Ported!C$29*50000*IMABS(P183))</f>
        <v>55.26171289265924</v>
      </c>
      <c r="W183" s="22">
        <f>20*LOG10(Ported!C$29*50000*IMABS(R183))</f>
        <v>63.220513066099606</v>
      </c>
      <c r="X183" s="28">
        <f>1000*Ported!C$29*IMABS(H183)</f>
        <v>7.5755278200517223E-2</v>
      </c>
      <c r="Y183" s="28">
        <f>1000*Ported!C$29*IMABS(J183)</f>
        <v>1.4401355578856777E-3</v>
      </c>
      <c r="Z183" s="28">
        <f>Ported!C$29*IMABS(IMPRODUCT(C183,J183))</f>
        <v>4.7505352532684194E-3</v>
      </c>
      <c r="AA183" s="28">
        <f>1000*Ported!C$29*IMABS(L183)</f>
        <v>3.6003388947140357E-3</v>
      </c>
      <c r="AB183" s="41" t="str">
        <f t="shared" si="27"/>
        <v>0.113229168213891+0.0170554444757582i</v>
      </c>
      <c r="AC183" s="28">
        <f>20*LOG10(Ported!C$29*50000*IMABS(AB183))</f>
        <v>104.98323484011098</v>
      </c>
      <c r="AD183" s="28">
        <f t="shared" si="28"/>
        <v>177485.03559856099</v>
      </c>
      <c r="AE183" s="23">
        <f t="shared" si="29"/>
        <v>8.5659332034787994</v>
      </c>
      <c r="AG183" s="64"/>
      <c r="AH183" s="1"/>
      <c r="AI183" s="1"/>
      <c r="AJ183" s="1"/>
      <c r="AK183" s="2"/>
      <c r="AL183" s="2"/>
      <c r="AM183" s="2"/>
      <c r="AN183" s="2"/>
      <c r="AO183" s="2"/>
      <c r="AP183" s="2"/>
      <c r="AQ183" s="3"/>
      <c r="AR183" s="3"/>
      <c r="AS183" s="2"/>
      <c r="AT183" s="8"/>
      <c r="AU183" s="8"/>
    </row>
    <row r="184" spans="2:47" x14ac:dyDescent="0.25">
      <c r="B184" s="25">
        <v>537</v>
      </c>
      <c r="C184" s="17" t="str">
        <f t="shared" si="20"/>
        <v>3374.07050995544i</v>
      </c>
      <c r="D184" s="18" t="str">
        <f>COMPLEX(Ported!C$19,2*PI()*B184*Ported!C$20)</f>
        <v>6</v>
      </c>
      <c r="E184" s="19" t="str">
        <f>IMSUB(COMPLEX(1,0),IMDIV(COMPLEX(Ported!C$41,0),IMSUM(COMPLEX(Ported!C$41,0),IMPRODUCT(C184,COMPLEX(Ported!C$42,0)))))</f>
        <v>0.999936310154263+0.00798033767082412i</v>
      </c>
      <c r="F184" s="19" t="str">
        <f>IMDIV(IMPRODUCT(C184,COMPLEX((Ported!C$42*Ported!C$14/Ported!C$24),0)),IMSUM(COMPLEX(Ported!C$41,0),IMPRODUCT(C184,COMPLEX(Ported!C$42,0))))</f>
        <v>5.80273920918535+0.0463107678306891i</v>
      </c>
      <c r="G184" s="30" t="str">
        <f>IMPRODUCT(F184,IMSUB(COMPLEX(1,0),IMDIV(IMPRODUCT(COMPLEX(Ported!C$41,0),E184),IMSUM(COMPLEX(0-(2*PI()*B184)^2*Ported!C$38,0),IMPRODUCT(C184,COMPLEX(0,0)),IMPRODUCT(COMPLEX(Ported!C$41,0),E184)))))</f>
        <v>5.82090393973093+0.0466011800870281i</v>
      </c>
      <c r="H184" s="32" t="str">
        <f>IMDIV(COMPLEX(Ported!C$18,0),IMPRODUCT(D184,IMSUM(COMPLEX(Ported!C$16-(2*PI()*B184)^2*Ported!C$15,0),IMPRODUCT(C184,IMSUM(COMPLEX(Ported!C$17,0),IMDIV(COMPLEX(Ported!C$18^2,0),D184))),IMPRODUCT(COMPLEX(Ported!C$14*Ported!C$41/Ported!C$24,0),G184))))</f>
        <v>-2.31380022793443E-06-3.21710944332047E-07i</v>
      </c>
      <c r="I184" s="27">
        <f t="shared" si="21"/>
        <v>-172.08433939435577</v>
      </c>
      <c r="J184" s="20" t="str">
        <f>IMPRODUCT(IMDIV(IMPRODUCT(COMPLEX(-Ported!C$41,0),F184),IMSUM(IMPRODUCT(COMPLEX(Ported!C$41,0),E184),COMPLEX(Calculations!C$3-(2*PI()*B184)^2*Ported!C$38,0),IMPRODUCT(COMPLEX(Calculations!C$4,0),C184))),H184)</f>
        <v>-4.19881300611126E-08-6.18106277714289E-09i</v>
      </c>
      <c r="K184" s="27">
        <f t="shared" si="22"/>
        <v>-171.62564879836148</v>
      </c>
      <c r="L184" s="40" t="str">
        <f>IMSUM(IMPRODUCT(COMPLEX(-(Ported!C$14/Ported!C$24),0),H184),IMDIV(IMPRODUCT(COMPLEX(-Ported!C$41,0),J184),IMSUM(COMPLEX(Ported!C$41,0),IMPRODUCT(COMPLEX(Ported!C$42,0),C184))),IMDIV(IMPRODUCT(COMPLEX(Ported!C$42*Ported!C$14/Ported!C$24,0),C184,H184),IMSUM(COMPLEX(Ported!C$41,0),IMPRODUCT(COMPLEX(Ported!C$42,0),C184))))</f>
        <v>1.58058605301524E-08-1.07369646870559E-07i</v>
      </c>
      <c r="M184" s="28">
        <f t="shared" si="23"/>
        <v>-81.625648798345864</v>
      </c>
      <c r="N184" s="39" t="str">
        <f>IMPRODUCT(COMPLEX((Ported!C$10*Ported!C$14)/(2*PI()),0),C184,C184,H184)</f>
        <v>0.113065160751293+0.0157205878006266i</v>
      </c>
      <c r="O184" s="28">
        <f t="shared" si="24"/>
        <v>7.9156606056442067</v>
      </c>
      <c r="P184" s="26" t="str">
        <f>IMPRODUCT(COMPLEX((Ported!C$10*Ported!C$24)/(2*PI()),0),C184,C184,J184)</f>
        <v>0.000353564591494452+0.0000520481605782704i</v>
      </c>
      <c r="Q184" s="23">
        <f t="shared" si="25"/>
        <v>8.3743512016385111</v>
      </c>
      <c r="R184" s="41" t="str">
        <f>IMPRODUCT(COMPLEX((Ported!C$10*Ported!C$24)/(2*PI()),0),C184,C184,L184)</f>
        <v>-0.0001330945820504+0.000904115169678668i</v>
      </c>
      <c r="S184" s="33">
        <f t="shared" si="26"/>
        <v>98.374351201654122</v>
      </c>
      <c r="T184" s="38">
        <f>IMABS(IMDIV(D184,IMSUB(COMPLEX(1,0),IMPRODUCT(COMPLEX(Ported!C$18,0),IMPRODUCT(C184,H184)))))</f>
        <v>6.0566489106080192</v>
      </c>
      <c r="U184" s="21">
        <f>20*LOG10(Ported!C$29*50000*IMABS(N184))</f>
        <v>104.9563672372141</v>
      </c>
      <c r="V184" s="22">
        <f>20*LOG10(Ported!C$29*50000*IMABS(P184))</f>
        <v>54.869118716518052</v>
      </c>
      <c r="W184" s="22">
        <f>20*LOG10(Ported!C$29*50000*IMABS(R184))</f>
        <v>63.02421853583111</v>
      </c>
      <c r="X184" s="28">
        <f>1000*Ported!C$29*IMABS(H184)</f>
        <v>7.2417814236962669E-2</v>
      </c>
      <c r="Y184" s="28">
        <f>1000*Ported!C$29*IMABS(J184)</f>
        <v>1.315660088154846E-3</v>
      </c>
      <c r="Z184" s="28">
        <f>Ported!C$29*IMABS(IMPRODUCT(C184,J184))</f>
        <v>4.4391299045686543E-3</v>
      </c>
      <c r="AA184" s="28">
        <f>1000*Ported!C$29*IMABS(L184)</f>
        <v>3.3643307968532297E-3</v>
      </c>
      <c r="AB184" s="41" t="str">
        <f t="shared" si="27"/>
        <v>0.113285630760737+0.0166767511308835i</v>
      </c>
      <c r="AC184" s="28">
        <f>20*LOG10(Ported!C$29*50000*IMABS(AB184))</f>
        <v>104.98323995571376</v>
      </c>
      <c r="AD184" s="28">
        <f t="shared" si="28"/>
        <v>177485.14012938587</v>
      </c>
      <c r="AE184" s="23">
        <f t="shared" si="29"/>
        <v>8.3743512016384773</v>
      </c>
      <c r="AG184" s="64"/>
      <c r="AH184" s="1"/>
      <c r="AI184" s="1"/>
      <c r="AJ184" s="1"/>
      <c r="AK184" s="2"/>
      <c r="AL184" s="2"/>
      <c r="AM184" s="2"/>
      <c r="AN184" s="2"/>
      <c r="AO184" s="2"/>
      <c r="AP184" s="2"/>
      <c r="AQ184" s="3"/>
      <c r="AR184" s="3"/>
      <c r="AS184" s="2"/>
      <c r="AT184" s="8"/>
      <c r="AU184" s="8"/>
    </row>
    <row r="185" spans="2:47" x14ac:dyDescent="0.25">
      <c r="B185" s="25">
        <v>550</v>
      </c>
      <c r="C185" s="17" t="str">
        <f t="shared" si="20"/>
        <v>3455.75191894877i</v>
      </c>
      <c r="D185" s="18" t="str">
        <f>COMPLEX(Ported!C$19,2*PI()*B185*Ported!C$20)</f>
        <v>6</v>
      </c>
      <c r="E185" s="19" t="str">
        <f>IMSUB(COMPLEX(1,0),IMDIV(COMPLEX(Ported!C$41,0),IMSUM(COMPLEX(Ported!C$41,0),IMPRODUCT(C185,COMPLEX(Ported!C$42,0)))))</f>
        <v>0.999939285184236+0.00779173468974733i</v>
      </c>
      <c r="F185" s="19" t="str">
        <f>IMDIV(IMPRODUCT(C185,COMPLEX((Ported!C$42*Ported!C$14/Ported!C$24),0)),IMSUM(COMPLEX(Ported!C$41,0),IMPRODUCT(C185,COMPLEX(Ported!C$42,0))))</f>
        <v>5.80275647360801+0.0452162842099328i</v>
      </c>
      <c r="G185" s="30" t="str">
        <f>IMPRODUCT(F185,IMSUB(COMPLEX(1,0),IMDIV(IMPRODUCT(COMPLEX(Ported!C$41,0),E185),IMSUM(COMPLEX(0-(2*PI()*B185)^2*Ported!C$38,0),IMPRODUCT(C185,COMPLEX(0,0)),IMPRODUCT(COMPLEX(Ported!C$41,0),E185)))))</f>
        <v>5.82007027938098+0.045486528803423i</v>
      </c>
      <c r="H185" s="32" t="str">
        <f>IMDIV(COMPLEX(Ported!C$18,0),IMPRODUCT(D185,IMSUM(COMPLEX(Ported!C$16-(2*PI()*B185)^2*Ported!C$15,0),IMPRODUCT(C185,IMSUM(COMPLEX(Ported!C$17,0),IMDIV(COMPLEX(Ported!C$18^2,0),D185))),IMPRODUCT(COMPLEX(Ported!C$14*Ported!C$41/Ported!C$24,0),G185))))</f>
        <v>-2.20702418000314E-06-2.99518000989898E-07i</v>
      </c>
      <c r="I185" s="27">
        <f t="shared" si="21"/>
        <v>-172.27153402810939</v>
      </c>
      <c r="J185" s="20" t="str">
        <f>IMPRODUCT(IMDIV(IMPRODUCT(COMPLEX(-Ported!C$41,0),F185),IMSUM(IMPRODUCT(COMPLEX(Ported!C$41,0),E185),COMPLEX(Calculations!C$3-(2*PI()*B185)^2*Ported!C$38,0),IMPRODUCT(COMPLEX(Calculations!C$4,0),C185))),H185)</f>
        <v>-3.81761012282946E-08-5.48510782205301E-09i</v>
      </c>
      <c r="K185" s="27">
        <f t="shared" si="22"/>
        <v>-171.82375024908362</v>
      </c>
      <c r="L185" s="40" t="str">
        <f>IMSUM(IMPRODUCT(COMPLEX(-(Ported!C$14/Ported!C$24),0),H185),IMDIV(IMPRODUCT(COMPLEX(-Ported!C$41,0),J185),IMSUM(COMPLEX(Ported!C$41,0),IMPRODUCT(COMPLEX(Ported!C$42,0),C185))),IMDIV(IMPRODUCT(COMPLEX(Ported!C$42*Ported!C$14/Ported!C$24,0),C185,H185),IMSUM(COMPLEX(Ported!C$41,0),IMPRODUCT(COMPLEX(Ported!C$42,0),C185))))</f>
        <v>1.43657585815473E-08-9.99850270264889E-08i</v>
      </c>
      <c r="M185" s="28">
        <f t="shared" si="23"/>
        <v>-81.823750249095141</v>
      </c>
      <c r="N185" s="39" t="str">
        <f>IMPRODUCT(COMPLEX((Ported!C$10*Ported!C$14)/(2*PI()),0),C185,C185,H185)</f>
        <v>0.113132359234485+0.0153533334125663i</v>
      </c>
      <c r="O185" s="28">
        <f t="shared" si="24"/>
        <v>7.7284659718906035</v>
      </c>
      <c r="P185" s="26" t="str">
        <f>IMPRODUCT(COMPLEX((Ported!C$10*Ported!C$24)/(2*PI()),0),C185,C185,J185)</f>
        <v>0.00033721789455493+0.0000484511632054398i</v>
      </c>
      <c r="Q185" s="23">
        <f t="shared" si="25"/>
        <v>8.1762497509163836</v>
      </c>
      <c r="R185" s="41" t="str">
        <f>IMPRODUCT(COMPLEX((Ported!C$10*Ported!C$24)/(2*PI()),0),C185,C185,L185)</f>
        <v>-0.000126895903633117+0.000883189723834367i</v>
      </c>
      <c r="S185" s="33">
        <f t="shared" si="26"/>
        <v>98.176249750904844</v>
      </c>
      <c r="T185" s="38">
        <f>IMABS(IMDIV(D185,IMSUB(COMPLEX(1,0),IMPRODUCT(COMPLEX(Ported!C$18,0),IMPRODUCT(C185,H185)))))</f>
        <v>6.0539818266948648</v>
      </c>
      <c r="U185" s="21">
        <f>20*LOG10(Ported!C$29*50000*IMABS(N185))</f>
        <v>104.95762955552007</v>
      </c>
      <c r="V185" s="22">
        <f>20*LOG10(Ported!C$29*50000*IMABS(P185))</f>
        <v>54.453587735211038</v>
      </c>
      <c r="W185" s="22">
        <f>20*LOG10(Ported!C$29*50000*IMABS(R185))</f>
        <v>62.816455630417536</v>
      </c>
      <c r="X185" s="28">
        <f>1000*Ported!C$29*IMABS(H185)</f>
        <v>6.9044918424444046E-2</v>
      </c>
      <c r="Y185" s="28">
        <f>1000*Ported!C$29*IMABS(J185)</f>
        <v>1.1956122153160089E-3</v>
      </c>
      <c r="Z185" s="28">
        <f>Ported!C$29*IMABS(IMPRODUCT(C185,J185))</f>
        <v>4.1317392073969023E-3</v>
      </c>
      <c r="AA185" s="28">
        <f>1000*Ported!C$29*IMABS(L185)</f>
        <v>3.1313653258276471E-3</v>
      </c>
      <c r="AB185" s="41" t="str">
        <f t="shared" si="27"/>
        <v>0.113342681225407+0.0162849742996061i</v>
      </c>
      <c r="AC185" s="28">
        <f>20*LOG10(Ported!C$29*50000*IMABS(AB185))</f>
        <v>104.9832451261943</v>
      </c>
      <c r="AD185" s="28">
        <f t="shared" si="28"/>
        <v>177485.24578163045</v>
      </c>
      <c r="AE185" s="23">
        <f t="shared" si="29"/>
        <v>8.1762497509163587</v>
      </c>
      <c r="AG185" s="64"/>
      <c r="AH185" s="1"/>
      <c r="AI185" s="1"/>
      <c r="AJ185" s="1"/>
      <c r="AK185" s="2"/>
      <c r="AL185" s="2"/>
      <c r="AM185" s="2"/>
      <c r="AN185" s="2"/>
      <c r="AO185" s="2"/>
      <c r="AP185" s="2"/>
      <c r="AQ185" s="3"/>
      <c r="AR185" s="3"/>
      <c r="AS185" s="2"/>
      <c r="AT185" s="8"/>
      <c r="AU185" s="8"/>
    </row>
    <row r="186" spans="2:47" x14ac:dyDescent="0.25">
      <c r="B186" s="25">
        <v>562</v>
      </c>
      <c r="C186" s="17" t="str">
        <f t="shared" si="20"/>
        <v>3531.15014263493i</v>
      </c>
      <c r="D186" s="18" t="str">
        <f>COMPLEX(Ported!C$19,2*PI()*B186*Ported!C$20)</f>
        <v>6</v>
      </c>
      <c r="E186" s="19" t="str">
        <f>IMSUB(COMPLEX(1,0),IMDIV(COMPLEX(Ported!C$41,0),IMSUM(COMPLEX(Ported!C$41,0),IMPRODUCT(C186,COMPLEX(Ported!C$42,0)))))</f>
        <v>0.999941850157418+0.00762538269057517i</v>
      </c>
      <c r="F186" s="19" t="str">
        <f>IMDIV(IMPRODUCT(C186,COMPLEX((Ported!C$42*Ported!C$14/Ported!C$24),0)),IMSUM(COMPLEX(Ported!C$41,0),IMPRODUCT(C186,COMPLEX(Ported!C$42,0))))</f>
        <v>5.80277135842649+0.0442509254582602i</v>
      </c>
      <c r="G186" s="30" t="str">
        <f>IMPRODUCT(F186,IMSUB(COMPLEX(1,0),IMDIV(IMPRODUCT(COMPLEX(Ported!C$41,0),E186),IMSUM(COMPLEX(0-(2*PI()*B186)^2*Ported!C$38,0),IMPRODUCT(C186,COMPLEX(0,0)),IMPRODUCT(COMPLEX(Ported!C$41,0),E186)))))</f>
        <v>5.81935171633891+0.0445041793994554i</v>
      </c>
      <c r="H186" s="32" t="str">
        <f>IMDIV(COMPLEX(Ported!C$18,0),IMPRODUCT(D186,IMSUM(COMPLEX(Ported!C$16-(2*PI()*B186)^2*Ported!C$15,0),IMPRODUCT(C186,IMSUM(COMPLEX(Ported!C$17,0),IMDIV(COMPLEX(Ported!C$18^2,0),D186))),IMPRODUCT(COMPLEX(Ported!C$14*Ported!C$41/Ported!C$24,0),G186))))</f>
        <v>-2.11486304826758E-06-2.8080671196651E-07i</v>
      </c>
      <c r="I186" s="27">
        <f t="shared" si="21"/>
        <v>-172.43663665922153</v>
      </c>
      <c r="J186" s="20" t="str">
        <f>IMPRODUCT(IMDIV(IMPRODUCT(COMPLEX(-Ported!C$41,0),F186),IMSUM(IMPRODUCT(COMPLEX(Ported!C$41,0),E186),COMPLEX(Calculations!C$3-(2*PI()*B186)^2*Ported!C$38,0),IMPRODUCT(COMPLEX(Calculations!C$4,0),C186))),H186)</f>
        <v>-3.5033660141477E-08-4.92461449061078E-09i</v>
      </c>
      <c r="K186" s="27">
        <f t="shared" si="22"/>
        <v>-171.9984689620137</v>
      </c>
      <c r="L186" s="40" t="str">
        <f>IMSUM(IMPRODUCT(COMPLEX(-(Ported!C$14/Ported!C$24),0),H186),IMDIV(IMPRODUCT(COMPLEX(-Ported!C$41,0),J186),IMSUM(COMPLEX(Ported!C$41,0),IMPRODUCT(COMPLEX(Ported!C$42,0),C186))),IMDIV(IMPRODUCT(COMPLEX(Ported!C$42*Ported!C$14/Ported!C$24,0),C186,H186),IMSUM(COMPLEX(Ported!C$41,0),IMPRODUCT(COMPLEX(Ported!C$42,0),C186))))</f>
        <v>1.31792063985183E-08-9.3756747616723E-08i</v>
      </c>
      <c r="M186" s="28">
        <f t="shared" si="23"/>
        <v>-81.998468962112611</v>
      </c>
      <c r="N186" s="39" t="str">
        <f>IMPRODUCT(COMPLEX((Ported!C$10*Ported!C$14)/(2*PI()),0),C186,C186,H186)</f>
        <v>0.113190311176183+0.0150291524237879i</v>
      </c>
      <c r="O186" s="28">
        <f t="shared" si="24"/>
        <v>7.5633633407784924</v>
      </c>
      <c r="P186" s="26" t="str">
        <f>IMPRODUCT(COMPLEX((Ported!C$10*Ported!C$24)/(2*PI()),0),C186,C186,J186)</f>
        <v>0.000323111044854333+0.0000454191005775668i</v>
      </c>
      <c r="Q186" s="23">
        <f t="shared" si="25"/>
        <v>8.0015310379862985</v>
      </c>
      <c r="R186" s="41" t="str">
        <f>IMPRODUCT(COMPLEX((Ported!C$10*Ported!C$24)/(2*PI()),0),C186,C186,L186)</f>
        <v>-0.00012155016440131+0.000864706700991197i</v>
      </c>
      <c r="S186" s="33">
        <f t="shared" si="26"/>
        <v>98.001531037887375</v>
      </c>
      <c r="T186" s="38">
        <f>IMABS(IMDIV(D186,IMSUB(COMPLEX(1,0),IMPRODUCT(COMPLEX(Ported!C$18,0),IMPRODUCT(C186,H186)))))</f>
        <v>6.0516840142223911</v>
      </c>
      <c r="U186" s="21">
        <f>20*LOG10(Ported!C$29*50000*IMABS(N186))</f>
        <v>104.95871773756804</v>
      </c>
      <c r="V186" s="22">
        <f>20*LOG10(Ported!C$29*50000*IMABS(P186))</f>
        <v>54.078647151681515</v>
      </c>
      <c r="W186" s="22">
        <f>20*LOG10(Ported!C$29*50000*IMABS(R186))</f>
        <v>62.62898756838301</v>
      </c>
      <c r="X186" s="28">
        <f>1000*Ported!C$29*IMABS(H186)</f>
        <v>6.6136145152548551E-2</v>
      </c>
      <c r="Y186" s="28">
        <f>1000*Ported!C$29*IMABS(J186)</f>
        <v>1.0967207543986991E-3</v>
      </c>
      <c r="Z186" s="28">
        <f>Ported!C$29*IMABS(IMPRODUCT(C186,J186))</f>
        <v>3.8726856483256491E-3</v>
      </c>
      <c r="AA186" s="28">
        <f>1000*Ported!C$29*IMABS(L186)</f>
        <v>2.9350336379617824E-3</v>
      </c>
      <c r="AB186" s="41" t="str">
        <f t="shared" si="27"/>
        <v>0.113391872056636+0.0159392782253567i</v>
      </c>
      <c r="AC186" s="28">
        <f>20*LOG10(Ported!C$29*50000*IMABS(AB186))</f>
        <v>104.98324958565749</v>
      </c>
      <c r="AD186" s="28">
        <f t="shared" si="28"/>
        <v>177485.33690518321</v>
      </c>
      <c r="AE186" s="23">
        <f t="shared" si="29"/>
        <v>8.0015310379862736</v>
      </c>
      <c r="AG186" s="64"/>
      <c r="AH186" s="1"/>
      <c r="AI186" s="1"/>
      <c r="AJ186" s="1"/>
      <c r="AK186" s="2"/>
      <c r="AL186" s="2"/>
      <c r="AM186" s="2"/>
      <c r="AN186" s="2"/>
      <c r="AO186" s="2"/>
      <c r="AP186" s="2"/>
      <c r="AQ186" s="3"/>
      <c r="AR186" s="3"/>
      <c r="AS186" s="2"/>
      <c r="AT186" s="8"/>
      <c r="AU186" s="8"/>
    </row>
    <row r="187" spans="2:47" x14ac:dyDescent="0.25">
      <c r="B187" s="25">
        <v>575</v>
      </c>
      <c r="C187" s="17" t="str">
        <f t="shared" si="20"/>
        <v>3612.83155162826i</v>
      </c>
      <c r="D187" s="18" t="str">
        <f>COMPLEX(Ported!C$19,2*PI()*B187*Ported!C$20)</f>
        <v>6</v>
      </c>
      <c r="E187" s="19" t="str">
        <f>IMSUB(COMPLEX(1,0),IMDIV(COMPLEX(Ported!C$41,0),IMSUM(COMPLEX(Ported!C$41,0),IMPRODUCT(C187,COMPLEX(Ported!C$42,0)))))</f>
        <v>0.999944449673719+0.00745300210936936i</v>
      </c>
      <c r="F187" s="19" t="str">
        <f>IMDIV(IMPRODUCT(C187,COMPLEX((Ported!C$42*Ported!C$14/Ported!C$24),0)),IMSUM(COMPLEX(Ported!C$41,0),IMPRODUCT(C187,COMPLEX(Ported!C$42,0))))</f>
        <v>5.80278644370242+0.0432505821890865i</v>
      </c>
      <c r="G187" s="30" t="str">
        <f>IMPRODUCT(F187,IMSUB(COMPLEX(1,0),IMDIV(IMPRODUCT(COMPLEX(Ported!C$41,0),E187),IMSUM(COMPLEX(0-(2*PI()*B187)^2*Ported!C$38,0),IMPRODUCT(C187,COMPLEX(0,0)),IMPRODUCT(COMPLEX(Ported!C$41,0),E187)))))</f>
        <v>5.8186236571309+0.0434870002428466i</v>
      </c>
      <c r="H187" s="32" t="str">
        <f>IMDIV(COMPLEX(Ported!C$18,0),IMPRODUCT(D187,IMSUM(COMPLEX(Ported!C$16-(2*PI()*B187)^2*Ported!C$15,0),IMPRODUCT(C187,IMSUM(COMPLEX(Ported!C$17,0),IMDIV(COMPLEX(Ported!C$18^2,0),D187))),IMPRODUCT(COMPLEX(Ported!C$14*Ported!C$41/Ported!C$24,0),G187))))</f>
        <v>-2.02136404542113E-06-2.62252561381348E-07i</v>
      </c>
      <c r="I187" s="27">
        <f t="shared" si="21"/>
        <v>-172.60771566160423</v>
      </c>
      <c r="J187" s="20" t="str">
        <f>IMPRODUCT(IMDIV(IMPRODUCT(COMPLEX(-Ported!C$41,0),F187),IMSUM(IMPRODUCT(COMPLEX(Ported!C$41,0),E187),COMPLEX(Calculations!C$3-(2*PI()*B187)^2*Ported!C$38,0),IMPRODUCT(COMPLEX(Calculations!C$4,0),C187))),H187)</f>
        <v>-3.19852910985092E-08-4.39309433611405E-09i</v>
      </c>
      <c r="K187" s="27">
        <f t="shared" si="22"/>
        <v>-172.17950869473543</v>
      </c>
      <c r="L187" s="40" t="str">
        <f>IMSUM(IMPRODUCT(COMPLEX(-(Ported!C$14/Ported!C$24),0),H187),IMDIV(IMPRODUCT(COMPLEX(-Ported!C$41,0),J187),IMSUM(COMPLEX(Ported!C$41,0),IMPRODUCT(COMPLEX(Ported!C$42,0),C187))),IMDIV(IMPRODUCT(COMPLEX(Ported!C$42*Ported!C$14/Ported!C$24,0),C187,H187),IMSUM(COMPLEX(Ported!C$41,0),IMPRODUCT(COMPLEX(Ported!C$42,0),C187))))</f>
        <v>1.2028710682209E-08-8.75787732459225E-08i</v>
      </c>
      <c r="M187" s="28">
        <f t="shared" si="23"/>
        <v>-82.179508694740974</v>
      </c>
      <c r="N187" s="39" t="str">
        <f>IMPRODUCT(COMPLEX((Ported!C$10*Ported!C$14)/(2*PI()),0),C187,C187,H187)</f>
        <v>0.113249058325139+0.0146929770948833i</v>
      </c>
      <c r="O187" s="28">
        <f t="shared" si="24"/>
        <v>7.3922843383957701</v>
      </c>
      <c r="P187" s="26" t="str">
        <f>IMPRODUCT(COMPLEX((Ported!C$10*Ported!C$24)/(2*PI()),0),C187,C187,J187)</f>
        <v>0.000308801681793535+0.0000424130865369207i</v>
      </c>
      <c r="Q187" s="23">
        <f t="shared" si="25"/>
        <v>7.8204913052645697</v>
      </c>
      <c r="R187" s="41" t="str">
        <f>IMPRODUCT(COMPLEX((Ported!C$10*Ported!C$24)/(2*PI()),0),C187,C187,L187)</f>
        <v>-0.000116131070279586+0.000845528414434721i</v>
      </c>
      <c r="S187" s="33">
        <f t="shared" si="26"/>
        <v>97.820491305259011</v>
      </c>
      <c r="T187" s="38">
        <f>IMABS(IMDIV(D187,IMSUB(COMPLEX(1,0),IMPRODUCT(COMPLEX(Ported!C$18,0),IMPRODUCT(C187,H187)))))</f>
        <v>6.0493568230116574</v>
      </c>
      <c r="U187" s="21">
        <f>20*LOG10(Ported!C$29*50000*IMABS(N187))</f>
        <v>104.95982043524604</v>
      </c>
      <c r="V187" s="22">
        <f>20*LOG10(Ported!C$29*50000*IMABS(P187))</f>
        <v>53.681390507932761</v>
      </c>
      <c r="W187" s="22">
        <f>20*LOG10(Ported!C$29*50000*IMABS(R187))</f>
        <v>62.430361507047309</v>
      </c>
      <c r="X187" s="28">
        <f>1000*Ported!C$29*IMABS(H187)</f>
        <v>6.3187468209127767E-2</v>
      </c>
      <c r="Y187" s="28">
        <f>1000*Ported!C$29*IMABS(J187)</f>
        <v>1.0008527152617296E-3</v>
      </c>
      <c r="Z187" s="28">
        <f>Ported!C$29*IMABS(IMPRODUCT(C187,J187))</f>
        <v>3.6159122682304047E-3</v>
      </c>
      <c r="AA187" s="28">
        <f>1000*Ported!C$29*IMABS(L187)</f>
        <v>2.7404300536929336E-3</v>
      </c>
      <c r="AB187" s="41" t="str">
        <f t="shared" si="27"/>
        <v>0.113441728936653+0.0155809185958549i</v>
      </c>
      <c r="AC187" s="28">
        <f>20*LOG10(Ported!C$29*50000*IMABS(AB187))</f>
        <v>104.98325410673149</v>
      </c>
      <c r="AD187" s="28">
        <f t="shared" si="28"/>
        <v>177485.42928772376</v>
      </c>
      <c r="AE187" s="23">
        <f t="shared" si="29"/>
        <v>7.8204913052645573</v>
      </c>
      <c r="AG187" s="64"/>
      <c r="AH187" s="1"/>
      <c r="AI187" s="1"/>
      <c r="AJ187" s="1"/>
      <c r="AK187" s="2"/>
      <c r="AL187" s="2"/>
      <c r="AM187" s="2"/>
      <c r="AN187" s="2"/>
      <c r="AO187" s="2"/>
      <c r="AP187" s="2"/>
      <c r="AQ187" s="3"/>
      <c r="AR187" s="3"/>
      <c r="AS187" s="2"/>
      <c r="AT187" s="8"/>
      <c r="AU187" s="8"/>
    </row>
    <row r="188" spans="2:47" x14ac:dyDescent="0.25">
      <c r="B188" s="25">
        <v>589</v>
      </c>
      <c r="C188" s="17" t="str">
        <f t="shared" si="20"/>
        <v>3700.79614592878i</v>
      </c>
      <c r="D188" s="18" t="str">
        <f>COMPLEX(Ported!C$19,2*PI()*B188*Ported!C$20)</f>
        <v>6</v>
      </c>
      <c r="E188" s="19" t="str">
        <f>IMSUB(COMPLEX(1,0),IMDIV(COMPLEX(Ported!C$41,0),IMSUM(COMPLEX(Ported!C$41,0),IMPRODUCT(C188,COMPLEX(Ported!C$42,0)))))</f>
        <v>0.999947058913841+0.00727586994116303i</v>
      </c>
      <c r="F188" s="19" t="str">
        <f>IMDIV(IMPRODUCT(C188,COMPLEX((Ported!C$42*Ported!C$14/Ported!C$24),0)),IMSUM(COMPLEX(Ported!C$41,0),IMPRODUCT(C188,COMPLEX(Ported!C$42,0))))</f>
        <v>5.80280158540673+0.0422226649435367i</v>
      </c>
      <c r="G188" s="30" t="str">
        <f>IMPRODUCT(F188,IMSUB(COMPLEX(1,0),IMDIV(IMPRODUCT(COMPLEX(Ported!C$41,0),E188),IMSUM(COMPLEX(0-(2*PI()*B188)^2*Ported!C$38,0),IMPRODUCT(C188,COMPLEX(0,0)),IMPRODUCT(COMPLEX(Ported!C$41,0),E188)))))</f>
        <v>5.8178930575885+0.0424425810355807i</v>
      </c>
      <c r="H188" s="32" t="str">
        <f>IMDIV(COMPLEX(Ported!C$18,0),IMPRODUCT(D188,IMSUM(COMPLEX(Ported!C$16-(2*PI()*B188)^2*Ported!C$15,0),IMPRODUCT(C188,IMSUM(COMPLEX(Ported!C$17,0),IMDIV(COMPLEX(Ported!C$18^2,0),D188))),IMPRODUCT(COMPLEX(Ported!C$14*Ported!C$41/Ported!C$24,0),G188))))</f>
        <v>-1.92741735259924E-06-2.44053262255758E-07i</v>
      </c>
      <c r="I188" s="27">
        <f t="shared" si="21"/>
        <v>-172.78350318889548</v>
      </c>
      <c r="J188" s="20" t="str">
        <f>IMPRODUCT(IMDIV(IMPRODUCT(COMPLEX(-Ported!C$41,0),F188),IMSUM(IMPRODUCT(COMPLEX(Ported!C$41,0),E188),COMPLEX(Calculations!C$3-(2*PI()*B188)^2*Ported!C$38,0),IMPRODUCT(COMPLEX(Calculations!C$4,0),C188))),H188)</f>
        <v>-2.90637776495578E-08-3.89573508840058E-09i</v>
      </c>
      <c r="K188" s="27">
        <f t="shared" si="22"/>
        <v>-172.36552753984668</v>
      </c>
      <c r="L188" s="40" t="str">
        <f>IMSUM(IMPRODUCT(COMPLEX(-(Ported!C$14/Ported!C$24),0),H188),IMDIV(IMPRODUCT(COMPLEX(-Ported!C$41,0),J188),IMSUM(COMPLEX(Ported!C$41,0),IMPRODUCT(COMPLEX(Ported!C$42,0),C188))),IMDIV(IMPRODUCT(COMPLEX(Ported!C$42*Ported!C$14/Ported!C$24,0),C188,H188),IMSUM(COMPLEX(Ported!C$41,0),IMPRODUCT(COMPLEX(Ported!C$42,0),C188))))</f>
        <v>1.0926609366986E-08-8.15169763599402E-08i</v>
      </c>
      <c r="M188" s="28">
        <f t="shared" si="23"/>
        <v>-82.365527539848657</v>
      </c>
      <c r="N188" s="39" t="str">
        <f>IMPRODUCT(COMPLEX((Ported!C$10*Ported!C$14)/(2*PI()),0),C188,C188,H188)</f>
        <v>0.113308040163058+0.0143472802111637i</v>
      </c>
      <c r="O188" s="28">
        <f t="shared" si="24"/>
        <v>7.2164968111044656</v>
      </c>
      <c r="P188" s="26" t="str">
        <f>IMPRODUCT(COMPLEX((Ported!C$10*Ported!C$24)/(2*PI()),0),C188,C188,J188)</f>
        <v>0.000294426103772126+0.0000394651417044403i</v>
      </c>
      <c r="Q188" s="23">
        <f t="shared" si="25"/>
        <v>7.634472460153332</v>
      </c>
      <c r="R188" s="41" t="str">
        <f>IMPRODUCT(COMPLEX((Ported!C$10*Ported!C$24)/(2*PI()),0),C188,C188,L188)</f>
        <v>-0.000110690326018602+0.000825795119627434i</v>
      </c>
      <c r="S188" s="33">
        <f t="shared" si="26"/>
        <v>97.634472460151343</v>
      </c>
      <c r="T188" s="38">
        <f>IMABS(IMDIV(D188,IMSUB(COMPLEX(1,0),IMPRODUCT(COMPLEX(Ported!C$18,0),IMPRODUCT(C188,H188)))))</f>
        <v>6.0470225108990645</v>
      </c>
      <c r="U188" s="21">
        <f>20*LOG10(Ported!C$29*50000*IMABS(N188))</f>
        <v>104.96092711683978</v>
      </c>
      <c r="V188" s="22">
        <f>20*LOG10(Ported!C$29*50000*IMABS(P188))</f>
        <v>53.263497043593794</v>
      </c>
      <c r="W188" s="22">
        <f>20*LOG10(Ported!C$29*50000*IMABS(R188))</f>
        <v>62.221417044656349</v>
      </c>
      <c r="X188" s="28">
        <f>1000*Ported!C$29*IMABS(H188)</f>
        <v>6.0227021840097039E-2</v>
      </c>
      <c r="Y188" s="28">
        <f>1000*Ported!C$29*IMABS(J188)</f>
        <v>9.0903498620206887E-4</v>
      </c>
      <c r="Z188" s="28">
        <f>Ported!C$29*IMABS(IMPRODUCT(C188,J188))</f>
        <v>3.3641531734510529E-3</v>
      </c>
      <c r="AA188" s="28">
        <f>1000*Ported!C$29*IMABS(L188)</f>
        <v>2.5496266993950017E-3</v>
      </c>
      <c r="AB188" s="41" t="str">
        <f t="shared" si="27"/>
        <v>0.113491775940812+0.0152125404724956i</v>
      </c>
      <c r="AC188" s="28">
        <f>20*LOG10(Ported!C$29*50000*IMABS(AB188))</f>
        <v>104.98325864629145</v>
      </c>
      <c r="AD188" s="28">
        <f t="shared" si="28"/>
        <v>177485.52204804998</v>
      </c>
      <c r="AE188" s="23">
        <f t="shared" si="29"/>
        <v>7.6344724601532024</v>
      </c>
      <c r="AG188" s="64"/>
      <c r="AH188" s="1"/>
      <c r="AI188" s="1"/>
      <c r="AJ188" s="1"/>
      <c r="AK188" s="2"/>
      <c r="AL188" s="2"/>
      <c r="AM188" s="2"/>
      <c r="AN188" s="2"/>
      <c r="AO188" s="2"/>
      <c r="AP188" s="2"/>
      <c r="AQ188" s="3"/>
      <c r="AR188" s="3"/>
      <c r="AS188" s="2"/>
      <c r="AT188" s="8"/>
      <c r="AU188" s="8"/>
    </row>
    <row r="189" spans="2:47" x14ac:dyDescent="0.25">
      <c r="B189" s="25">
        <v>603</v>
      </c>
      <c r="C189" s="17" t="str">
        <f t="shared" si="20"/>
        <v>3788.76074022929i</v>
      </c>
      <c r="D189" s="18" t="str">
        <f>COMPLEX(Ported!C$19,2*PI()*B189*Ported!C$20)</f>
        <v>6</v>
      </c>
      <c r="E189" s="19" t="str">
        <f>IMSUB(COMPLEX(1,0),IMDIV(COMPLEX(Ported!C$41,0),IMSUM(COMPLEX(Ported!C$41,0),IMPRODUCT(C189,COMPLEX(Ported!C$42,0)))))</f>
        <v>0.999949488546275+0.0071069615390638i</v>
      </c>
      <c r="F189" s="19" t="str">
        <f>IMDIV(IMPRODUCT(C189,COMPLEX((Ported!C$42*Ported!C$14/Ported!C$24),0)),IMSUM(COMPLEX(Ported!C$41,0),IMPRODUCT(C189,COMPLEX(Ported!C$42,0))))</f>
        <v>5.80281568482812+0.0412424711075204i</v>
      </c>
      <c r="G189" s="30" t="str">
        <f>IMPRODUCT(F189,IMSUB(COMPLEX(1,0),IMDIV(IMPRODUCT(COMPLEX(Ported!C$41,0),E189),IMSUM(COMPLEX(0-(2*PI()*B189)^2*Ported!C$38,0),IMPRODUCT(C189,COMPLEX(0,0)),IMPRODUCT(COMPLEX(Ported!C$41,0),E189)))))</f>
        <v>5.81721291388936+0.0414473868316547i</v>
      </c>
      <c r="H189" s="32" t="str">
        <f>IMDIV(COMPLEX(Ported!C$18,0),IMPRODUCT(D189,IMSUM(COMPLEX(Ported!C$16-(2*PI()*B189)^2*Ported!C$15,0),IMPRODUCT(C189,IMSUM(COMPLEX(Ported!C$17,0),IMDIV(COMPLEX(Ported!C$18^2,0),D189))),IMPRODUCT(COMPLEX(Ported!C$14*Ported!C$41/Ported!C$24,0),G189))))</f>
        <v>-1.83984924278911E-06-2.27498428953365E-07i</v>
      </c>
      <c r="I189" s="27">
        <f t="shared" si="21"/>
        <v>-172.95112275335455</v>
      </c>
      <c r="J189" s="20" t="str">
        <f>IMPRODUCT(IMDIV(IMPRODUCT(COMPLEX(-Ported!C$41,0),F189),IMSUM(IMPRODUCT(COMPLEX(Ported!C$41,0),E189),COMPLEX(Calculations!C$3-(2*PI()*B189)^2*Ported!C$38,0),IMPRODUCT(COMPLEX(Calculations!C$4,0),C189))),H189)</f>
        <v>-2.64680714818296E-08-3.4644284598769E-09i</v>
      </c>
      <c r="K189" s="27">
        <f t="shared" si="22"/>
        <v>-172.54289974539984</v>
      </c>
      <c r="L189" s="40" t="str">
        <f>IMSUM(IMPRODUCT(COMPLEX(-(Ported!C$14/Ported!C$24),0),H189),IMDIV(IMPRODUCT(COMPLEX(-Ported!C$41,0),J189),IMSUM(COMPLEX(Ported!C$41,0),IMPRODUCT(COMPLEX(Ported!C$42,0),C189))),IMDIV(IMPRODUCT(COMPLEX(Ported!C$42*Ported!C$14/Ported!C$24,0),C189,H189),IMSUM(COMPLEX(Ported!C$41,0),IMPRODUCT(COMPLEX(Ported!C$42,0),C189))))</f>
        <v>9.94785886328695E-09-7.60011766835467E-08i</v>
      </c>
      <c r="M189" s="28">
        <f t="shared" si="23"/>
        <v>-82.542899745455301</v>
      </c>
      <c r="N189" s="39" t="str">
        <f>IMPRODUCT(COMPLEX((Ported!C$10*Ported!C$14)/(2*PI()),0),C189,C189,H189)</f>
        <v>0.113362975428672+0.0140173978452744i</v>
      </c>
      <c r="O189" s="28">
        <f t="shared" si="24"/>
        <v>7.0488772466454375</v>
      </c>
      <c r="P189" s="26" t="str">
        <f>IMPRODUCT(COMPLEX((Ported!C$10*Ported!C$24)/(2*PI()),0),C189,C189,J189)</f>
        <v>0.000281028640913189+0.0000367840785940358i</v>
      </c>
      <c r="Q189" s="23">
        <f t="shared" si="25"/>
        <v>7.4571002546001752</v>
      </c>
      <c r="R189" s="41" t="str">
        <f>IMPRODUCT(COMPLEX((Ported!C$10*Ported!C$24)/(2*PI()),0),C189,C189,L189)</f>
        <v>-0.000105622854247804+0.00080695366890795i</v>
      </c>
      <c r="S189" s="33">
        <f t="shared" si="26"/>
        <v>97.457100254544699</v>
      </c>
      <c r="T189" s="38">
        <f>IMABS(IMDIV(D189,IMSUB(COMPLEX(1,0),IMPRODUCT(COMPLEX(Ported!C$18,0),IMPRODUCT(C189,H189)))))</f>
        <v>6.0448503074556657</v>
      </c>
      <c r="U189" s="21">
        <f>20*LOG10(Ported!C$29*50000*IMABS(N189))</f>
        <v>104.96195749287421</v>
      </c>
      <c r="V189" s="22">
        <f>20*LOG10(Ported!C$29*50000*IMABS(P189))</f>
        <v>52.855420577968417</v>
      </c>
      <c r="W189" s="22">
        <f>20*LOG10(Ported!C$29*50000*IMABS(R189))</f>
        <v>62.017380926092798</v>
      </c>
      <c r="X189" s="28">
        <f>1000*Ported!C$29*IMABS(H189)</f>
        <v>5.7469692371584537E-2</v>
      </c>
      <c r="Y189" s="28">
        <f>1000*Ported!C$29*IMABS(J189)</f>
        <v>8.2750902755953867E-4</v>
      </c>
      <c r="Z189" s="28">
        <f>Ported!C$29*IMABS(IMPRODUCT(C189,J189))</f>
        <v>3.1352337158028834E-3</v>
      </c>
      <c r="AA189" s="28">
        <f>1000*Ported!C$29*IMABS(L189)</f>
        <v>2.3761330648494638E-3</v>
      </c>
      <c r="AB189" s="41" t="str">
        <f t="shared" si="27"/>
        <v>0.113538381215337+0.0148611355927764i</v>
      </c>
      <c r="AC189" s="28">
        <f>20*LOG10(Ported!C$29*50000*IMABS(AB189))</f>
        <v>104.98326287478793</v>
      </c>
      <c r="AD189" s="28">
        <f t="shared" si="28"/>
        <v>177485.60845222065</v>
      </c>
      <c r="AE189" s="23">
        <f t="shared" si="29"/>
        <v>7.4571002546002054</v>
      </c>
      <c r="AG189" s="64"/>
      <c r="AH189" s="1"/>
      <c r="AI189" s="1"/>
      <c r="AJ189" s="1"/>
      <c r="AK189" s="2"/>
      <c r="AL189" s="2"/>
      <c r="AM189" s="2"/>
      <c r="AN189" s="2"/>
      <c r="AO189" s="2"/>
      <c r="AP189" s="2"/>
      <c r="AQ189" s="3"/>
      <c r="AR189" s="3"/>
      <c r="AS189" s="2"/>
      <c r="AT189" s="8"/>
      <c r="AU189" s="8"/>
    </row>
    <row r="190" spans="2:47" x14ac:dyDescent="0.25">
      <c r="B190" s="25">
        <v>617</v>
      </c>
      <c r="C190" s="17" t="str">
        <f t="shared" si="20"/>
        <v>3876.7253345298i</v>
      </c>
      <c r="D190" s="18" t="str">
        <f>COMPLEX(Ported!C$19,2*PI()*B190*Ported!C$20)</f>
        <v>6</v>
      </c>
      <c r="E190" s="19" t="str">
        <f>IMSUB(COMPLEX(1,0),IMDIV(COMPLEX(Ported!C$41,0),IMSUM(COMPLEX(Ported!C$41,0),IMPRODUCT(C190,COMPLEX(Ported!C$42,0)))))</f>
        <v>0.999951754684794+0.00694571721244361i</v>
      </c>
      <c r="F190" s="19" t="str">
        <f>IMDIV(IMPRODUCT(C190,COMPLEX((Ported!C$42*Ported!C$14/Ported!C$24),0)),IMSUM(COMPLEX(Ported!C$41,0),IMPRODUCT(C190,COMPLEX(Ported!C$42,0))))</f>
        <v>5.80282883547653+0.040306752735424i</v>
      </c>
      <c r="G190" s="30" t="str">
        <f>IMPRODUCT(F190,IMSUB(COMPLEX(1,0),IMDIV(IMPRODUCT(COMPLEX(Ported!C$41,0),E190),IMSUM(COMPLEX(0-(2*PI()*B190)^2*Ported!C$38,0),IMPRODUCT(C190,COMPLEX(0,0)),IMPRODUCT(COMPLEX(Ported!C$41,0),E190)))))</f>
        <v>5.81657868139787+0.0404980026099736i</v>
      </c>
      <c r="H190" s="32" t="str">
        <f>IMDIV(COMPLEX(Ported!C$18,0),IMPRODUCT(D190,IMSUM(COMPLEX(Ported!C$16-(2*PI()*B190)^2*Ported!C$15,0),IMPRODUCT(C190,IMSUM(COMPLEX(Ported!C$17,0),IMDIV(COMPLEX(Ported!C$18^2,0),D190))),IMPRODUCT(COMPLEX(Ported!C$14*Ported!C$41/Ported!C$24,0),G190))))</f>
        <v>-1.75809699035215E-06-2.12406574481206E-07i</v>
      </c>
      <c r="I190" s="27">
        <f t="shared" si="21"/>
        <v>-173.11113082948566</v>
      </c>
      <c r="J190" s="20" t="str">
        <f>IMPRODUCT(IMDIV(IMPRODUCT(COMPLEX(-Ported!C$41,0),F190),IMSUM(IMPRODUCT(COMPLEX(Ported!C$41,0),E190),COMPLEX(Calculations!C$3-(2*PI()*B190)^2*Ported!C$38,0),IMPRODUCT(COMPLEX(Calculations!C$4,0),C190))),H190)</f>
        <v>-2.41555618594547E-08-3.08916483659366E-09i</v>
      </c>
      <c r="K190" s="27">
        <f t="shared" si="22"/>
        <v>-172.71221468616528</v>
      </c>
      <c r="L190" s="40" t="str">
        <f>IMSUM(IMPRODUCT(COMPLEX(-(Ported!C$14/Ported!C$24),0),H190),IMDIV(IMPRODUCT(COMPLEX(-Ported!C$41,0),J190),IMSUM(COMPLEX(Ported!C$41,0),IMPRODUCT(COMPLEX(Ported!C$42,0),C190))),IMDIV(IMPRODUCT(COMPLEX(Ported!C$42*Ported!C$14/Ported!C$24,0),C190,H190),IMSUM(COMPLEX(Ported!C$41,0),IMPRODUCT(COMPLEX(Ported!C$42,0),C190))))</f>
        <v>9.0762604960728E-09-7.09713412727822E-08i</v>
      </c>
      <c r="M190" s="28">
        <f t="shared" si="23"/>
        <v>-82.712214686176992</v>
      </c>
      <c r="N190" s="39" t="str">
        <f>IMPRODUCT(COMPLEX((Ported!C$10*Ported!C$14)/(2*PI()),0),C190,C190,H190)</f>
        <v>0.113414225708801+0.0137022742843212i</v>
      </c>
      <c r="O190" s="28">
        <f t="shared" si="24"/>
        <v>6.8888691705143277</v>
      </c>
      <c r="P190" s="26" t="str">
        <f>IMPRODUCT(COMPLEX((Ported!C$10*Ported!C$24)/(2*PI()),0),C190,C190,J190)</f>
        <v>0.000268522778087519+0.0000343403779518267i</v>
      </c>
      <c r="Q190" s="23">
        <f t="shared" si="25"/>
        <v>7.2877853138346982</v>
      </c>
      <c r="R190" s="41" t="str">
        <f>IMPRODUCT(COMPLEX((Ported!C$10*Ported!C$24)/(2*PI()),0),C190,C190,L190)</f>
        <v>-0.000100895300934494+0.00078894549561908i</v>
      </c>
      <c r="S190" s="33">
        <f t="shared" si="26"/>
        <v>97.287785313823022</v>
      </c>
      <c r="T190" s="38">
        <f>IMABS(IMDIV(D190,IMSUB(COMPLEX(1,0),IMPRODUCT(COMPLEX(Ported!C$18,0),IMPRODUCT(C190,H190)))))</f>
        <v>6.042825513212283</v>
      </c>
      <c r="U190" s="21">
        <f>20*LOG10(Ported!C$29*50000*IMABS(N190))</f>
        <v>104.96291842299108</v>
      </c>
      <c r="V190" s="22">
        <f>20*LOG10(Ported!C$29*50000*IMABS(P190))</f>
        <v>52.456710447432144</v>
      </c>
      <c r="W190" s="22">
        <f>20*LOG10(Ported!C$29*50000*IMABS(R190))</f>
        <v>61.818027833418761</v>
      </c>
      <c r="X190" s="28">
        <f>1000*Ported!C$29*IMABS(H190)</f>
        <v>5.4897329067394258E-2</v>
      </c>
      <c r="Y190" s="28">
        <f>1000*Ported!C$29*IMABS(J190)</f>
        <v>7.5492104084889521E-4</v>
      </c>
      <c r="Z190" s="28">
        <f>Ported!C$29*IMABS(IMPRODUCT(C190,J190))</f>
        <v>2.9266215246285185E-3</v>
      </c>
      <c r="AA190" s="28">
        <f>1000*Ported!C$29*IMABS(L190)</f>
        <v>2.2180299152560878E-3</v>
      </c>
      <c r="AB190" s="41" t="str">
        <f t="shared" si="27"/>
        <v>0.113581853185954+0.0145255601578921i</v>
      </c>
      <c r="AC190" s="28">
        <f>20*LOG10(Ported!C$29*50000*IMABS(AB190))</f>
        <v>104.98326681997524</v>
      </c>
      <c r="AD190" s="28">
        <f t="shared" si="28"/>
        <v>177485.68906735122</v>
      </c>
      <c r="AE190" s="23">
        <f t="shared" si="29"/>
        <v>7.2877853138347266</v>
      </c>
      <c r="AG190" s="64"/>
      <c r="AH190" s="1"/>
      <c r="AI190" s="1"/>
      <c r="AJ190" s="1"/>
      <c r="AK190" s="2"/>
      <c r="AL190" s="2"/>
      <c r="AM190" s="2"/>
      <c r="AN190" s="2"/>
      <c r="AO190" s="2"/>
      <c r="AP190" s="2"/>
      <c r="AQ190" s="3"/>
      <c r="AR190" s="3"/>
      <c r="AS190" s="2"/>
      <c r="AT190" s="8"/>
      <c r="AU190" s="8"/>
    </row>
    <row r="191" spans="2:47" x14ac:dyDescent="0.25">
      <c r="B191" s="25">
        <v>631</v>
      </c>
      <c r="C191" s="17" t="str">
        <f t="shared" si="20"/>
        <v>3964.68992883032i</v>
      </c>
      <c r="D191" s="18" t="str">
        <f>COMPLEX(Ported!C$19,2*PI()*B191*Ported!C$20)</f>
        <v>6</v>
      </c>
      <c r="E191" s="19" t="str">
        <f>IMSUB(COMPLEX(1,0),IMDIV(COMPLEX(Ported!C$41,0),IMSUM(COMPLEX(Ported!C$41,0),IMPRODUCT(C191,COMPLEX(Ported!C$42,0)))))</f>
        <v>0.99995387167582+0.00679162693010527i</v>
      </c>
      <c r="F191" s="19" t="str">
        <f>IMDIV(IMPRODUCT(C191,COMPLEX((Ported!C$42*Ported!C$14/Ported!C$24),0)),IMSUM(COMPLEX(Ported!C$41,0),IMPRODUCT(C191,COMPLEX(Ported!C$42,0))))</f>
        <v>5.80284112060586+0.0394125500607149i</v>
      </c>
      <c r="G191" s="30" t="str">
        <f>IMPRODUCT(F191,IMSUB(COMPLEX(1,0),IMDIV(IMPRODUCT(COMPLEX(Ported!C$41,0),E191),IMSUM(COMPLEX(0-(2*PI()*B191)^2*Ported!C$38,0),IMPRODUCT(C191,COMPLEX(0,0)),IMPRODUCT(COMPLEX(Ported!C$41,0),E191)))))</f>
        <v>5.81598631621898+0.0395913233602905i</v>
      </c>
      <c r="H191" s="32" t="str">
        <f>IMDIV(COMPLEX(Ported!C$18,0),IMPRODUCT(D191,IMSUM(COMPLEX(Ported!C$16-(2*PI()*B191)^2*Ported!C$15,0),IMPRODUCT(C191,IMSUM(COMPLEX(Ported!C$17,0),IMDIV(COMPLEX(Ported!C$18^2,0),D191))),IMPRODUCT(COMPLEX(Ported!C$14*Ported!C$41/Ported!C$24,0),G191))))</f>
        <v>-1.68165837884009E-06-1.98619709251322E-07i</v>
      </c>
      <c r="I191" s="27">
        <f t="shared" si="21"/>
        <v>-173.26403445522212</v>
      </c>
      <c r="J191" s="20" t="str">
        <f>IMPRODUCT(IMDIV(IMPRODUCT(COMPLEX(-Ported!C$41,0),F191),IMSUM(IMPRODUCT(COMPLEX(Ported!C$41,0),E191),COMPLEX(Calculations!C$3-(2*PI()*B191)^2*Ported!C$38,0),IMPRODUCT(COMPLEX(Calculations!C$4,0),C191))),H191)</f>
        <v>-2.20899953849795E-08-2.76163092973886E-09i</v>
      </c>
      <c r="K191" s="27">
        <f t="shared" si="22"/>
        <v>-172.87400934644728</v>
      </c>
      <c r="L191" s="40" t="str">
        <f>IMSUM(IMPRODUCT(COMPLEX(-(Ported!C$14/Ported!C$24),0),H191),IMDIV(IMPRODUCT(COMPLEX(-Ported!C$41,0),J191),IMSUM(COMPLEX(Ported!C$41,0),IMPRODUCT(COMPLEX(Ported!C$42,0),C191))),IMDIV(IMPRODUCT(COMPLEX(Ported!C$42*Ported!C$14/Ported!C$24,0),C191,H191),IMSUM(COMPLEX(Ported!C$41,0),IMPRODUCT(COMPLEX(Ported!C$42,0),C191))))</f>
        <v>8.29804341258232E-09-6.63751766091656E-08i</v>
      </c>
      <c r="M191" s="28">
        <f t="shared" si="23"/>
        <v>-82.874009346541456</v>
      </c>
      <c r="N191" s="39" t="str">
        <f>IMPRODUCT(COMPLEX((Ported!C$10*Ported!C$14)/(2*PI()),0),C191,C191,H191)</f>
        <v>0.113462113117+0.0134009452822892i</v>
      </c>
      <c r="O191" s="28">
        <f t="shared" si="24"/>
        <v>6.7359655447779012</v>
      </c>
      <c r="P191" s="26" t="str">
        <f>IMPRODUCT(COMPLEX((Ported!C$10*Ported!C$24)/(2*PI()),0),C191,C191,J191)</f>
        <v>0.000256831331662219+0.0000321083520789999i</v>
      </c>
      <c r="Q191" s="23">
        <f t="shared" si="25"/>
        <v>7.1259906535527513</v>
      </c>
      <c r="R191" s="41" t="str">
        <f>IMPRODUCT(COMPLEX((Ported!C$10*Ported!C$24)/(2*PI()),0),C191,C191,L191)</f>
        <v>-0.0000964779531503918+0.000771717001328056i</v>
      </c>
      <c r="S191" s="33">
        <f t="shared" si="26"/>
        <v>97.125990653458544</v>
      </c>
      <c r="T191" s="38">
        <f>IMABS(IMDIV(D191,IMSUB(COMPLEX(1,0),IMPRODUCT(COMPLEX(Ported!C$18,0),IMPRODUCT(C191,H191)))))</f>
        <v>6.040935060904685</v>
      </c>
      <c r="U191" s="21">
        <f>20*LOG10(Ported!C$29*50000*IMABS(N191))</f>
        <v>104.96381601271351</v>
      </c>
      <c r="V191" s="22">
        <f>20*LOG10(Ported!C$29*50000*IMABS(P191))</f>
        <v>52.066946325604214</v>
      </c>
      <c r="W191" s="22">
        <f>20*LOG10(Ported!C$29*50000*IMABS(R191))</f>
        <v>61.623147615808421</v>
      </c>
      <c r="X191" s="28">
        <f>1000*Ported!C$29*IMABS(H191)</f>
        <v>5.2493762763181094E-2</v>
      </c>
      <c r="Y191" s="28">
        <f>1000*Ported!C$29*IMABS(J191)</f>
        <v>6.9012050827517511E-4</v>
      </c>
      <c r="Z191" s="28">
        <f>Ported!C$29*IMABS(IMPRODUCT(C191,J191))</f>
        <v>2.7361138288378496E-3</v>
      </c>
      <c r="AA191" s="28">
        <f>1000*Ported!C$29*IMABS(L191)</f>
        <v>2.0736478129601463E-3</v>
      </c>
      <c r="AB191" s="41" t="str">
        <f t="shared" si="27"/>
        <v>0.113622466495512+0.0142047706356963i</v>
      </c>
      <c r="AC191" s="28">
        <f>20*LOG10(Ported!C$29*50000*IMABS(AB191))</f>
        <v>104.9832705065831</v>
      </c>
      <c r="AD191" s="28">
        <f t="shared" si="28"/>
        <v>177485.76439875679</v>
      </c>
      <c r="AE191" s="23">
        <f t="shared" si="29"/>
        <v>7.1259906535527451</v>
      </c>
      <c r="AG191" s="64"/>
      <c r="AH191" s="1"/>
      <c r="AI191" s="1"/>
      <c r="AJ191" s="1"/>
      <c r="AK191" s="2"/>
      <c r="AL191" s="2"/>
      <c r="AM191" s="2"/>
      <c r="AN191" s="2"/>
      <c r="AO191" s="2"/>
      <c r="AP191" s="2"/>
      <c r="AQ191" s="3"/>
      <c r="AR191" s="3"/>
      <c r="AS191" s="2"/>
      <c r="AT191" s="8"/>
      <c r="AU191" s="8"/>
    </row>
    <row r="192" spans="2:47" x14ac:dyDescent="0.25">
      <c r="B192" s="25">
        <v>646</v>
      </c>
      <c r="C192" s="17" t="str">
        <f t="shared" si="20"/>
        <v>4058.93770843801i</v>
      </c>
      <c r="D192" s="18" t="str">
        <f>COMPLEX(Ported!C$19,2*PI()*B192*Ported!C$20)</f>
        <v>6</v>
      </c>
      <c r="E192" s="19" t="str">
        <f>IMSUB(COMPLEX(1,0),IMDIV(COMPLEX(Ported!C$41,0),IMSUM(COMPLEX(Ported!C$41,0),IMPRODUCT(C192,COMPLEX(Ported!C$42,0)))))</f>
        <v>0.999955988894335+0.00663394066051088i</v>
      </c>
      <c r="F192" s="19" t="str">
        <f>IMDIV(IMPRODUCT(C192,COMPLEX((Ported!C$42*Ported!C$14/Ported!C$24),0)),IMSUM(COMPLEX(Ported!C$41,0),IMPRODUCT(C192,COMPLEX(Ported!C$42,0))))</f>
        <v>5.80285340705522+0.038497479480685i</v>
      </c>
      <c r="G192" s="30" t="str">
        <f>IMPRODUCT(F192,IMSUB(COMPLEX(1,0),IMDIV(IMPRODUCT(COMPLEX(Ported!C$41,0),E192),IMSUM(COMPLEX(0-(2*PI()*B192)^2*Ported!C$38,0),IMPRODUCT(C192,COMPLEX(0,0)),IMPRODUCT(COMPLEX(Ported!C$41,0),E192)))))</f>
        <v>5.81539400797602+0.0386640611704833i</v>
      </c>
      <c r="H192" s="32" t="str">
        <f>IMDIV(COMPLEX(Ported!C$18,0),IMPRODUCT(D192,IMSUM(COMPLEX(Ported!C$16-(2*PI()*B192)^2*Ported!C$15,0),IMPRODUCT(C192,IMSUM(COMPLEX(Ported!C$17,0),IMDIV(COMPLEX(Ported!C$18^2,0),D192))),IMPRODUCT(COMPLEX(Ported!C$14*Ported!C$41/Ported!C$24,0),G192))))</f>
        <v>-1.60514685975854E-06-1.85139820855551E-07i</v>
      </c>
      <c r="I192" s="27">
        <f t="shared" si="21"/>
        <v>-173.42050117899143</v>
      </c>
      <c r="J192" s="20" t="str">
        <f>IMPRODUCT(IMDIV(IMPRODUCT(COMPLEX(-Ported!C$41,0),F192),IMSUM(IMPRODUCT(COMPLEX(Ported!C$41,0),E192),COMPLEX(Calculations!C$3-(2*PI()*B192)^2*Ported!C$38,0),IMPRODUCT(COMPLEX(Calculations!C$4,0),C192))),H192)</f>
        <v>-2.01158423245753E-08-2.45581346292259E-09i</v>
      </c>
      <c r="K192" s="27">
        <f t="shared" si="22"/>
        <v>-173.03957172166173</v>
      </c>
      <c r="L192" s="40" t="str">
        <f>IMSUM(IMPRODUCT(COMPLEX(-(Ported!C$14/Ported!C$24),0),H192),IMDIV(IMPRODUCT(COMPLEX(-Ported!C$41,0),J192),IMSUM(COMPLEX(Ported!C$41,0),IMPRODUCT(COMPLEX(Ported!C$42,0),C192))),IMDIV(IMPRODUCT(COMPLEX(Ported!C$42*Ported!C$14/Ported!C$24,0),C192,H192),IMSUM(COMPLEX(Ported!C$41,0),IMPRODUCT(COMPLEX(Ported!C$42,0),C192))))</f>
        <v>7.55454998588782E-09-6.18801625794116E-08i</v>
      </c>
      <c r="M192" s="28">
        <f t="shared" si="23"/>
        <v>-83.039571721712335</v>
      </c>
      <c r="N192" s="39" t="str">
        <f>IMPRODUCT(COMPLEX((Ported!C$10*Ported!C$14)/(2*PI()),0),C192,C192,H192)</f>
        <v>0.113510015527468+0.0130923994974687i</v>
      </c>
      <c r="O192" s="28">
        <f t="shared" si="24"/>
        <v>6.5794988210085403</v>
      </c>
      <c r="P192" s="26" t="str">
        <f>IMPRODUCT(COMPLEX((Ported!C$10*Ported!C$24)/(2*PI()),0),C192,C192,J192)</f>
        <v>0.000245130255984214+0.0000299263721151882i</v>
      </c>
      <c r="Q192" s="23">
        <f t="shared" si="25"/>
        <v>6.9604282783382674</v>
      </c>
      <c r="R192" s="41" t="str">
        <f>IMPRODUCT(COMPLEX((Ported!C$10*Ported!C$24)/(2*PI()),0),C192,C192,L192)</f>
        <v>-0.0000920592208870039+0.000754067358884818i</v>
      </c>
      <c r="S192" s="33">
        <f t="shared" si="26"/>
        <v>96.960428278287665</v>
      </c>
      <c r="T192" s="38">
        <f>IMABS(IMDIV(D192,IMSUB(COMPLEX(1,0),IMPRODUCT(COMPLEX(Ported!C$18,0),IMPRODUCT(C192,H192)))))</f>
        <v>6.0390454467499577</v>
      </c>
      <c r="U192" s="21">
        <f>20*LOG10(Ported!C$29*50000*IMABS(N192))</f>
        <v>104.96471360605895</v>
      </c>
      <c r="V192" s="22">
        <f>20*LOG10(Ported!C$29*50000*IMABS(P192))</f>
        <v>51.658823663609567</v>
      </c>
      <c r="W192" s="22">
        <f>20*LOG10(Ported!C$29*50000*IMABS(R192))</f>
        <v>61.419088128832449</v>
      </c>
      <c r="X192" s="28">
        <f>1000*Ported!C$29*IMABS(H192)</f>
        <v>5.0089450386956946E-2</v>
      </c>
      <c r="Y192" s="28">
        <f>1000*Ported!C$29*IMABS(J192)</f>
        <v>6.2822104790938413E-4</v>
      </c>
      <c r="Z192" s="28">
        <f>Ported!C$29*IMABS(IMPRODUCT(C192,J192))</f>
        <v>2.5499101005938408E-3</v>
      </c>
      <c r="AA192" s="28">
        <f>1000*Ported!C$29*IMABS(L192)</f>
        <v>1.9325276045211585E-3</v>
      </c>
      <c r="AB192" s="41" t="str">
        <f t="shared" si="27"/>
        <v>0.113663086562565+0.0138763932284687i</v>
      </c>
      <c r="AC192" s="28">
        <f>20*LOG10(Ported!C$29*50000*IMABS(AB192))</f>
        <v>104.98327419462646</v>
      </c>
      <c r="AD192" s="28">
        <f t="shared" si="28"/>
        <v>177485.83975952715</v>
      </c>
      <c r="AE192" s="23">
        <f t="shared" si="29"/>
        <v>6.9604282783382239</v>
      </c>
      <c r="AG192" s="64"/>
      <c r="AH192" s="1"/>
      <c r="AI192" s="1"/>
      <c r="AJ192" s="1"/>
      <c r="AK192" s="2"/>
      <c r="AL192" s="2"/>
      <c r="AM192" s="2"/>
      <c r="AN192" s="2"/>
      <c r="AO192" s="2"/>
      <c r="AP192" s="2"/>
      <c r="AQ192" s="3"/>
      <c r="AR192" s="3"/>
      <c r="AS192" s="2"/>
      <c r="AT192" s="8"/>
      <c r="AU192" s="8"/>
    </row>
    <row r="193" spans="2:47" x14ac:dyDescent="0.25">
      <c r="B193" s="25">
        <v>661</v>
      </c>
      <c r="C193" s="17" t="str">
        <f t="shared" si="20"/>
        <v>4153.18548804571i</v>
      </c>
      <c r="D193" s="18" t="str">
        <f>COMPLEX(Ported!C$19,2*PI()*B193*Ported!C$20)</f>
        <v>6</v>
      </c>
      <c r="E193" s="19" t="str">
        <f>IMSUB(COMPLEX(1,0),IMDIV(COMPLEX(Ported!C$41,0),IMSUM(COMPLEX(Ported!C$41,0),IMPRODUCT(C193,COMPLEX(Ported!C$42,0)))))</f>
        <v>0.999957963625364+0.00648341018127536i</v>
      </c>
      <c r="F193" s="19" t="str">
        <f>IMDIV(IMPRODUCT(C193,COMPLEX((Ported!C$42*Ported!C$14/Ported!C$24),0)),IMSUM(COMPLEX(Ported!C$41,0),IMPRODUCT(C193,COMPLEX(Ported!C$42,0))))</f>
        <v>5.80286486663426+0.0376239347307172i</v>
      </c>
      <c r="G193" s="30" t="str">
        <f>IMPRODUCT(F193,IMSUB(COMPLEX(1,0),IMDIV(IMPRODUCT(COMPLEX(Ported!C$41,0),E193),IMSUM(COMPLEX(0-(2*PI()*B193)^2*Ported!C$38,0),IMPRODUCT(C193,COMPLEX(0,0)),IMPRODUCT(COMPLEX(Ported!C$41,0),E193)))))</f>
        <v>5.81484167037338+0.0377794091580466i</v>
      </c>
      <c r="H193" s="32" t="str">
        <f>IMDIV(COMPLEX(Ported!C$18,0),IMPRODUCT(D193,IMSUM(COMPLEX(Ported!C$16-(2*PI()*B193)^2*Ported!C$15,0),IMPRODUCT(C193,IMSUM(COMPLEX(Ported!C$17,0),IMDIV(COMPLEX(Ported!C$18^2,0),D193))),IMPRODUCT(COMPLEX(Ported!C$14*Ported!C$41/Ported!C$24,0),G193))))</f>
        <v>-1.53372618842701E-06-1.72851888053468E-07i</v>
      </c>
      <c r="I193" s="27">
        <f t="shared" si="21"/>
        <v>-173.56986266327152</v>
      </c>
      <c r="J193" s="20" t="str">
        <f>IMPRODUCT(IMDIV(IMPRODUCT(COMPLEX(-Ported!C$41,0),F193),IMSUM(IMPRODUCT(COMPLEX(Ported!C$41,0),E193),COMPLEX(Calculations!C$3-(2*PI()*B193)^2*Ported!C$38,0),IMPRODUCT(COMPLEX(Calculations!C$4,0),C193))),H193)</f>
        <v>-1.83572321730593E-08-2.18974292285909E-09i</v>
      </c>
      <c r="K193" s="27">
        <f t="shared" si="22"/>
        <v>-173.19761344937174</v>
      </c>
      <c r="L193" s="40" t="str">
        <f>IMSUM(IMPRODUCT(COMPLEX(-(Ported!C$14/Ported!C$24),0),H193),IMDIV(IMPRODUCT(COMPLEX(-Ported!C$41,0),J193),IMSUM(COMPLEX(Ported!C$41,0),IMPRODUCT(COMPLEX(Ported!C$42,0),C193))),IMDIV(IMPRODUCT(COMPLEX(Ported!C$42*Ported!C$14/Ported!C$24,0),C193,H193),IMSUM(COMPLEX(Ported!C$41,0),IMPRODUCT(COMPLEX(Ported!C$42,0),C193))))</f>
        <v>6.89247653331917E-09-5.77815736494971E-08i</v>
      </c>
      <c r="M193" s="28">
        <f t="shared" si="23"/>
        <v>-83.197613449432694</v>
      </c>
      <c r="N193" s="39" t="str">
        <f>IMPRODUCT(COMPLEX((Ported!C$10*Ported!C$14)/(2*PI()),0),C193,C193,H193)</f>
        <v>0.113554703020339+0.0127976851164986i</v>
      </c>
      <c r="O193" s="28">
        <f t="shared" si="24"/>
        <v>6.4301373367284862</v>
      </c>
      <c r="P193" s="26" t="str">
        <f>IMPRODUCT(COMPLEX((Ported!C$10*Ported!C$24)/(2*PI()),0),C193,C193,J193)</f>
        <v>0.00023420910776421+0.0000279376395831873i</v>
      </c>
      <c r="Q193" s="23">
        <f t="shared" si="25"/>
        <v>6.802386550628265</v>
      </c>
      <c r="R193" s="41" t="str">
        <f>IMPRODUCT(COMPLEX((Ported!C$10*Ported!C$24)/(2*PI()),0),C193,C193,L193)</f>
        <v>-0.0000879370464967766+0.000737201048724623i</v>
      </c>
      <c r="S193" s="33">
        <f t="shared" si="26"/>
        <v>96.802386550567306</v>
      </c>
      <c r="T193" s="38">
        <f>IMABS(IMDIV(D193,IMSUB(COMPLEX(1,0),IMPRODUCT(COMPLEX(Ported!C$18,0),IMPRODUCT(C193,H193)))))</f>
        <v>6.0372839403093028</v>
      </c>
      <c r="U193" s="21">
        <f>20*LOG10(Ported!C$29*50000*IMABS(N193))</f>
        <v>104.96555070827385</v>
      </c>
      <c r="V193" s="22">
        <f>20*LOG10(Ported!C$29*50000*IMABS(P193))</f>
        <v>51.260069444764788</v>
      </c>
      <c r="W193" s="22">
        <f>20*LOG10(Ported!C$29*50000*IMABS(R193))</f>
        <v>61.219712739799668</v>
      </c>
      <c r="X193" s="28">
        <f>1000*Ported!C$29*IMABS(H193)</f>
        <v>4.7846507063901159E-2</v>
      </c>
      <c r="Y193" s="28">
        <f>1000*Ported!C$29*IMABS(J193)</f>
        <v>5.7310855183462944E-4</v>
      </c>
      <c r="Z193" s="28">
        <f>Ported!C$29*IMABS(IMPRODUCT(C193,J193))</f>
        <v>2.3802261205544753E-3</v>
      </c>
      <c r="AA193" s="28">
        <f>1000*Ported!C$29*IMABS(L193)</f>
        <v>1.8039273941081455E-3</v>
      </c>
      <c r="AB193" s="41" t="str">
        <f t="shared" si="27"/>
        <v>0.113700975081606+0.0135628238048064i</v>
      </c>
      <c r="AC193" s="28">
        <f>20*LOG10(Ported!C$29*50000*IMABS(AB193))</f>
        <v>104.98327763540381</v>
      </c>
      <c r="AD193" s="28">
        <f t="shared" si="28"/>
        <v>177485.9100677401</v>
      </c>
      <c r="AE193" s="23">
        <f t="shared" si="29"/>
        <v>6.8023865506283219</v>
      </c>
      <c r="AG193" s="64"/>
      <c r="AH193" s="1"/>
      <c r="AI193" s="1"/>
      <c r="AJ193" s="1"/>
      <c r="AK193" s="2"/>
      <c r="AL193" s="2"/>
      <c r="AM193" s="2"/>
      <c r="AN193" s="2"/>
      <c r="AO193" s="2"/>
      <c r="AP193" s="2"/>
      <c r="AQ193" s="3"/>
      <c r="AR193" s="3"/>
      <c r="AS193" s="2"/>
      <c r="AT193" s="8"/>
      <c r="AU193" s="8"/>
    </row>
    <row r="194" spans="2:47" x14ac:dyDescent="0.25">
      <c r="B194" s="25">
        <v>676</v>
      </c>
      <c r="C194" s="17" t="str">
        <f t="shared" si="20"/>
        <v>4247.4332676534i</v>
      </c>
      <c r="D194" s="18" t="str">
        <f>COMPLEX(Ported!C$19,2*PI()*B194*Ported!C$20)</f>
        <v>6</v>
      </c>
      <c r="E194" s="19" t="str">
        <f>IMSUB(COMPLEX(1,0),IMDIV(COMPLEX(Ported!C$41,0),IMSUM(COMPLEX(Ported!C$41,0),IMPRODUCT(C194,COMPLEX(Ported!C$42,0)))))</f>
        <v>0.99995980837347+0.0063395592246839i</v>
      </c>
      <c r="F194" s="19" t="str">
        <f>IMDIV(IMPRODUCT(C194,COMPLEX((Ported!C$42*Ported!C$14/Ported!C$24),0)),IMSUM(COMPLEX(Ported!C$41,0),IMPRODUCT(C194,COMPLEX(Ported!C$42,0))))</f>
        <v>5.80287557190823+0.0367891519774403i</v>
      </c>
      <c r="G194" s="30" t="str">
        <f>IMPRODUCT(F194,IMSUB(COMPLEX(1,0),IMDIV(IMPRODUCT(COMPLEX(Ported!C$41,0),E194),IMSUM(COMPLEX(0-(2*PI()*B194)^2*Ported!C$38,0),IMPRODUCT(C194,COMPLEX(0,0)),IMPRODUCT(COMPLEX(Ported!C$41,0),E194)))))</f>
        <v>5.81432578407176+0.0369344855121188i</v>
      </c>
      <c r="H194" s="32" t="str">
        <f>IMDIV(COMPLEX(Ported!C$18,0),IMPRODUCT(D194,IMSUM(COMPLEX(Ported!C$16-(2*PI()*B194)^2*Ported!C$15,0),IMPRODUCT(C194,IMSUM(COMPLEX(Ported!C$17,0),IMDIV(COMPLEX(Ported!C$18^2,0),D194))),IMPRODUCT(COMPLEX(Ported!C$14*Ported!C$41/Ported!C$24,0),G194))))</f>
        <v>-1.46695577083105E-06-1.6162710191431E-07i</v>
      </c>
      <c r="I194" s="27">
        <f t="shared" si="21"/>
        <v>-173.71259222297812</v>
      </c>
      <c r="J194" s="20" t="str">
        <f>IMPRODUCT(IMDIV(IMPRODUCT(COMPLEX(-Ported!C$41,0),F194),IMSUM(IMPRODUCT(COMPLEX(Ported!C$41,0),E194),COMPLEX(Calculations!C$3-(2*PI()*B194)^2*Ported!C$38,0),IMPRODUCT(COMPLEX(Calculations!C$4,0),C194))),H194)</f>
        <v>-1.67865494768296E-08-1.95752182709128E-09i</v>
      </c>
      <c r="K194" s="27">
        <f t="shared" si="22"/>
        <v>-173.34863572081088</v>
      </c>
      <c r="L194" s="40" t="str">
        <f>IMSUM(IMPRODUCT(COMPLEX(-(Ported!C$14/Ported!C$24),0),H194),IMDIV(IMPRODUCT(COMPLEX(-Ported!C$41,0),J194),IMSUM(COMPLEX(Ported!C$41,0),IMPRODUCT(COMPLEX(Ported!C$42,0),C194))),IMDIV(IMPRODUCT(COMPLEX(Ported!C$42*Ported!C$14/Ported!C$24,0),C194,H194),IMSUM(COMPLEX(Ported!C$41,0),IMPRODUCT(COMPLEX(Ported!C$42,0),C194))))</f>
        <v>6.30135597669356E-09-5.40367021254153E-08i</v>
      </c>
      <c r="M194" s="28">
        <f t="shared" si="23"/>
        <v>-83.348635720851249</v>
      </c>
      <c r="N194" s="39" t="str">
        <f>IMPRODUCT(COMPLEX((Ported!C$10*Ported!C$14)/(2*PI()),0),C194,C194,H194)</f>
        <v>0.113596456791567+0.0125158961599461i</v>
      </c>
      <c r="O194" s="28">
        <f t="shared" si="24"/>
        <v>6.2874077770218859</v>
      </c>
      <c r="P194" s="26" t="str">
        <f>IMPRODUCT(COMPLEX((Ported!C$10*Ported!C$24)/(2*PI()),0),C194,C194,J194)</f>
        <v>0.000224000241561032+0.0000261212325221856i</v>
      </c>
      <c r="Q194" s="23">
        <f t="shared" si="25"/>
        <v>6.6513642791891199</v>
      </c>
      <c r="R194" s="41" t="str">
        <f>IMPRODUCT(COMPLEX((Ported!C$10*Ported!C$24)/(2*PI()),0),C194,C194,L194)</f>
        <v>-0.0000840854913566187+0.000721067444263156i</v>
      </c>
      <c r="S194" s="33">
        <f t="shared" si="26"/>
        <v>96.651364279148751</v>
      </c>
      <c r="T194" s="38">
        <f>IMABS(IMDIV(D194,IMSUB(COMPLEX(1,0),IMPRODUCT(COMPLEX(Ported!C$18,0),IMPRODUCT(C194,H194)))))</f>
        <v>6.035639198868374</v>
      </c>
      <c r="U194" s="21">
        <f>20*LOG10(Ported!C$29*50000*IMABS(N194))</f>
        <v>104.96633263689037</v>
      </c>
      <c r="V194" s="22">
        <f>20*LOG10(Ported!C$29*50000*IMABS(P194))</f>
        <v>50.870263201637059</v>
      </c>
      <c r="W194" s="22">
        <f>20*LOG10(Ported!C$29*50000*IMABS(R194))</f>
        <v>61.02481122579097</v>
      </c>
      <c r="X194" s="28">
        <f>1000*Ported!C$29*IMABS(H194)</f>
        <v>4.5750817851219636E-2</v>
      </c>
      <c r="Y194" s="28">
        <f>1000*Ported!C$29*IMABS(J194)</f>
        <v>5.2390929536988082E-4</v>
      </c>
      <c r="Z194" s="28">
        <f>Ported!C$29*IMABS(IMPRODUCT(C194,J194))</f>
        <v>2.2252697703868821E-3</v>
      </c>
      <c r="AA194" s="28">
        <f>1000*Ported!C$29*IMABS(L194)</f>
        <v>1.6864889698572519E-3</v>
      </c>
      <c r="AB194" s="41" t="str">
        <f t="shared" si="27"/>
        <v>0.113736371541771+0.0132630848367314i</v>
      </c>
      <c r="AC194" s="28">
        <f>20*LOG10(Ported!C$29*50000*IMABS(AB194))</f>
        <v>104.98328085051597</v>
      </c>
      <c r="AD194" s="28">
        <f t="shared" si="28"/>
        <v>177485.97576477722</v>
      </c>
      <c r="AE194" s="23">
        <f t="shared" si="29"/>
        <v>6.6513642791891225</v>
      </c>
      <c r="AG194" s="64"/>
      <c r="AH194" s="1"/>
      <c r="AI194" s="1"/>
      <c r="AJ194" s="1"/>
      <c r="AK194" s="2"/>
      <c r="AL194" s="2"/>
      <c r="AM194" s="2"/>
      <c r="AN194" s="2"/>
      <c r="AO194" s="2"/>
      <c r="AP194" s="2"/>
      <c r="AQ194" s="3"/>
      <c r="AR194" s="3"/>
      <c r="AS194" s="2"/>
      <c r="AT194" s="8"/>
      <c r="AU194" s="8"/>
    </row>
    <row r="195" spans="2:47" x14ac:dyDescent="0.25">
      <c r="B195" s="25">
        <v>692</v>
      </c>
      <c r="C195" s="17" t="str">
        <f t="shared" si="20"/>
        <v>4347.96423256827i</v>
      </c>
      <c r="D195" s="18" t="str">
        <f>COMPLEX(Ported!C$19,2*PI()*B195*Ported!C$20)</f>
        <v>6</v>
      </c>
      <c r="E195" s="19" t="str">
        <f>IMSUB(COMPLEX(1,0),IMDIV(COMPLEX(Ported!C$41,0),IMSUM(COMPLEX(Ported!C$41,0),IMPRODUCT(C195,COMPLEX(Ported!C$42,0)))))</f>
        <v>0.999961645388949+0.006192991197702i</v>
      </c>
      <c r="F195" s="19" t="str">
        <f>IMDIV(IMPRODUCT(C195,COMPLEX((Ported!C$42*Ported!C$14/Ported!C$24),0)),IMSUM(COMPLEX(Ported!C$41,0),IMPRODUCT(C195,COMPLEX(Ported!C$42,0))))</f>
        <v>5.80288623230892+0.0359386017690478i</v>
      </c>
      <c r="G195" s="30" t="str">
        <f>IMPRODUCT(F195,IMSUB(COMPLEX(1,0),IMDIV(IMPRODUCT(COMPLEX(Ported!C$41,0),E195),IMSUM(COMPLEX(0-(2*PI()*B195)^2*Ported!C$38,0),IMPRODUCT(C195,COMPLEX(0,0)),IMPRODUCT(COMPLEX(Ported!C$41,0),E195)))))</f>
        <v>5.81381215111342+0.0360740678189495i</v>
      </c>
      <c r="H195" s="32" t="str">
        <f>IMDIV(COMPLEX(Ported!C$18,0),IMPRODUCT(D195,IMSUM(COMPLEX(Ported!C$16-(2*PI()*B195)^2*Ported!C$15,0),IMPRODUCT(C195,IMSUM(COMPLEX(Ported!C$17,0),IMDIV(COMPLEX(Ported!C$18^2,0),D195))),IMPRODUCT(COMPLEX(Ported!C$14*Ported!C$41/Ported!C$24,0),G195))))</f>
        <v>-1.40041638491188E-06-1.50699369048837E-07i</v>
      </c>
      <c r="I195" s="27">
        <f t="shared" si="21"/>
        <v>-173.85801347374408</v>
      </c>
      <c r="J195" s="20" t="str">
        <f>IMPRODUCT(IMDIV(IMPRODUCT(COMPLEX(-Ported!C$41,0),F195),IMSUM(IMPRODUCT(COMPLEX(Ported!C$41,0),E195),COMPLEX(Calculations!C$3-(2*PI()*B195)^2*Ported!C$38,0),IMPRODUCT(COMPLEX(Calculations!C$4,0),C195))),H195)</f>
        <v>-1.52917933074187E-08-1.7416028031483E-09i</v>
      </c>
      <c r="K195" s="27">
        <f t="shared" si="22"/>
        <v>-173.50250399782462</v>
      </c>
      <c r="L195" s="40" t="str">
        <f>IMSUM(IMPRODUCT(COMPLEX(-(Ported!C$14/Ported!C$24),0),H195),IMDIV(IMPRODUCT(COMPLEX(-Ported!C$41,0),J195),IMSUM(COMPLEX(Ported!C$41,0),IMPRODUCT(COMPLEX(Ported!C$42,0),C195))),IMDIV(IMPRODUCT(COMPLEX(Ported!C$42*Ported!C$14/Ported!C$24,0),C195,H195),IMSUM(COMPLEX(Ported!C$41,0),IMPRODUCT(COMPLEX(Ported!C$42,0),C195))))</f>
        <v>5.73899590371375E-09-5.03900998511149E-08i</v>
      </c>
      <c r="M195" s="28">
        <f t="shared" si="23"/>
        <v>-83.50250399781811</v>
      </c>
      <c r="N195" s="39" t="str">
        <f>IMPRODUCT(COMPLEX((Ported!C$10*Ported!C$14)/(2*PI()),0),C195,C195,H195)</f>
        <v>0.113638042981223+0.0122286353985301i</v>
      </c>
      <c r="O195" s="28">
        <f t="shared" si="24"/>
        <v>6.1419865262559314</v>
      </c>
      <c r="P195" s="26" t="str">
        <f>IMPRODUCT(COMPLEX((Ported!C$10*Ported!C$24)/(2*PI()),0),C195,C195,J195)</f>
        <v>0.000213827849436678+0.0000243531399152134i</v>
      </c>
      <c r="Q195" s="23">
        <f t="shared" si="25"/>
        <v>6.4974960021753807</v>
      </c>
      <c r="R195" s="41" t="str">
        <f>IMPRODUCT(COMPLEX((Ported!C$10*Ported!C$24)/(2*PI()),0),C195,C195,L195)</f>
        <v>-0.0000802493943873587+0.000704613675286603i</v>
      </c>
      <c r="S195" s="33">
        <f t="shared" si="26"/>
        <v>96.49749600218189</v>
      </c>
      <c r="T195" s="38">
        <f>IMABS(IMDIV(D195,IMSUB(COMPLEX(1,0),IMPRODUCT(COMPLEX(Ported!C$18,0),IMPRODUCT(C195,H195)))))</f>
        <v>6.0340021355444078</v>
      </c>
      <c r="U195" s="21">
        <f>20*LOG10(Ported!C$29*50000*IMABS(N195))</f>
        <v>104.96711121790243</v>
      </c>
      <c r="V195" s="22">
        <f>20*LOG10(Ported!C$29*50000*IMABS(P195))</f>
        <v>50.46389046345211</v>
      </c>
      <c r="W195" s="22">
        <f>20*LOG10(Ported!C$29*50000*IMABS(R195))</f>
        <v>60.821626457909311</v>
      </c>
      <c r="X195" s="28">
        <f>1000*Ported!C$29*IMABS(H195)</f>
        <v>4.3663545129477094E-2</v>
      </c>
      <c r="Y195" s="28">
        <f>1000*Ported!C$29*IMABS(J195)</f>
        <v>4.7711016556807942E-4</v>
      </c>
      <c r="Z195" s="28">
        <f>Ported!C$29*IMABS(IMPRODUCT(C195,J195))</f>
        <v>2.0744579348847335E-3</v>
      </c>
      <c r="AA195" s="28">
        <f>1000*Ported!C$29*IMABS(L195)</f>
        <v>1.5721915932053682E-3</v>
      </c>
      <c r="AB195" s="41" t="str">
        <f t="shared" si="27"/>
        <v>0.113771621436272+0.0129576022137319i</v>
      </c>
      <c r="AC195" s="28">
        <f>20*LOG10(Ported!C$29*50000*IMABS(AB195))</f>
        <v>104.98328405293589</v>
      </c>
      <c r="AD195" s="28">
        <f t="shared" si="28"/>
        <v>177486.04120248705</v>
      </c>
      <c r="AE195" s="23">
        <f t="shared" si="29"/>
        <v>6.497496002175394</v>
      </c>
      <c r="AG195" s="64"/>
      <c r="AH195" s="1"/>
      <c r="AI195" s="1"/>
      <c r="AJ195" s="1"/>
      <c r="AK195" s="2"/>
      <c r="AL195" s="2"/>
      <c r="AM195" s="2"/>
      <c r="AN195" s="2"/>
      <c r="AO195" s="2"/>
      <c r="AP195" s="2"/>
      <c r="AQ195" s="3"/>
      <c r="AR195" s="3"/>
      <c r="AS195" s="2"/>
      <c r="AT195" s="8"/>
      <c r="AU195" s="8"/>
    </row>
    <row r="196" spans="2:47" x14ac:dyDescent="0.25">
      <c r="B196" s="25">
        <v>708</v>
      </c>
      <c r="C196" s="17" t="str">
        <f t="shared" si="20"/>
        <v>4448.49519748315i</v>
      </c>
      <c r="D196" s="18" t="str">
        <f>COMPLEX(Ported!C$19,2*PI()*B196*Ported!C$20)</f>
        <v>6</v>
      </c>
      <c r="E196" s="19" t="str">
        <f>IMSUB(COMPLEX(1,0),IMDIV(COMPLEX(Ported!C$41,0),IMSUM(COMPLEX(Ported!C$41,0),IMPRODUCT(C196,COMPLEX(Ported!C$42,0)))))</f>
        <v>0.999963359279849+0.00605304696900637i</v>
      </c>
      <c r="F196" s="19" t="str">
        <f>IMDIV(IMPRODUCT(C196,COMPLEX((Ported!C$42*Ported!C$14/Ported!C$24),0)),IMSUM(COMPLEX(Ported!C$41,0),IMPRODUCT(C196,COMPLEX(Ported!C$42,0))))</f>
        <v>5.80289617820429+0.0351264901828349i</v>
      </c>
      <c r="G196" s="30" t="str">
        <f>IMPRODUCT(F196,IMSUB(COMPLEX(1,0),IMDIV(IMPRODUCT(COMPLEX(Ported!C$41,0),E196),IMSUM(COMPLEX(0-(2*PI()*B196)^2*Ported!C$38,0),IMPRODUCT(C196,COMPLEX(0,0)),IMPRODUCT(COMPLEX(Ported!C$41,0),E196)))))</f>
        <v>5.81333302579344+0.0352529625483657i</v>
      </c>
      <c r="H196" s="32" t="str">
        <f>IMDIV(COMPLEX(Ported!C$18,0),IMPRODUCT(D196,IMSUM(COMPLEX(Ported!C$16-(2*PI()*B196)^2*Ported!C$15,0),IMPRODUCT(C196,IMSUM(COMPLEX(Ported!C$17,0),IMDIV(COMPLEX(Ported!C$18^2,0),D196))),IMPRODUCT(COMPLEX(Ported!C$14*Ported!C$41/Ported!C$24,0),G196))))</f>
        <v>-1.33829278411967E-06-1.40734419463684E-07i</v>
      </c>
      <c r="I196" s="27">
        <f t="shared" si="21"/>
        <v>-173.99685888737361</v>
      </c>
      <c r="J196" s="20" t="str">
        <f>IMPRODUCT(IMDIV(IMPRODUCT(COMPLEX(-Ported!C$41,0),F196),IMSUM(IMPRODUCT(COMPLEX(Ported!C$41,0),E196),COMPLEX(Calculations!C$3-(2*PI()*B196)^2*Ported!C$38,0),IMPRODUCT(COMPLEX(Calculations!C$4,0),C196))),H196)</f>
        <v>-1.39596745455424E-08-1.55363910142815E-09i</v>
      </c>
      <c r="K196" s="27">
        <f t="shared" si="22"/>
        <v>-173.64941255982464</v>
      </c>
      <c r="L196" s="40" t="str">
        <f>IMSUM(IMPRODUCT(COMPLEX(-(Ported!C$14/Ported!C$24),0),H196),IMDIV(IMPRODUCT(COMPLEX(-Ported!C$41,0),J196),IMSUM(COMPLEX(Ported!C$41,0),IMPRODUCT(COMPLEX(Ported!C$42,0),C196))),IMDIV(IMPRODUCT(COMPLEX(Ported!C$42*Ported!C$14/Ported!C$24,0),C196,H196),IMSUM(COMPLEX(Ported!C$41,0),IMPRODUCT(COMPLEX(Ported!C$42,0),C196))))</f>
        <v>5.2379832562425E-09-4.70640456106908E-08i</v>
      </c>
      <c r="M196" s="28">
        <f t="shared" si="23"/>
        <v>-83.649412559826501</v>
      </c>
      <c r="N196" s="39" t="str">
        <f>IMPRODUCT(COMPLEX((Ported!C$10*Ported!C$14)/(2*PI()),0),C196,C196,H196)</f>
        <v>0.113676848580718+0.011954219197253i</v>
      </c>
      <c r="O196" s="28">
        <f t="shared" si="24"/>
        <v>6.0031411126264382</v>
      </c>
      <c r="P196" s="26" t="str">
        <f>IMPRODUCT(COMPLEX((Ported!C$10*Ported!C$24)/(2*PI()),0),C196,C196,J196)</f>
        <v>0.000204331568439105+0.0000227410397962684i</v>
      </c>
      <c r="Q196" s="23">
        <f t="shared" si="25"/>
        <v>6.3505874401753264</v>
      </c>
      <c r="R196" s="41" t="str">
        <f>IMPRODUCT(COMPLEX((Ported!C$10*Ported!C$24)/(2*PI()),0),C196,C196,L196)</f>
        <v>-0.0000766697913131193+0.000688889287880483i</v>
      </c>
      <c r="S196" s="33">
        <f t="shared" si="26"/>
        <v>96.350587440173513</v>
      </c>
      <c r="T196" s="38">
        <f>IMABS(IMDIV(D196,IMSUB(COMPLEX(1,0),IMPRODUCT(COMPLEX(Ported!C$18,0),IMPRODUCT(C196,H196)))))</f>
        <v>6.0324755000089176</v>
      </c>
      <c r="U196" s="21">
        <f>20*LOG10(Ported!C$29*50000*IMABS(N196))</f>
        <v>104.9678375521359</v>
      </c>
      <c r="V196" s="22">
        <f>20*LOG10(Ported!C$29*50000*IMABS(P196))</f>
        <v>50.066806922618085</v>
      </c>
      <c r="W196" s="22">
        <f>20*LOG10(Ported!C$29*50000*IMABS(R196))</f>
        <v>60.62308618173595</v>
      </c>
      <c r="X196" s="28">
        <f>1000*Ported!C$29*IMABS(H196)</f>
        <v>4.1715839155978436E-2</v>
      </c>
      <c r="Y196" s="28">
        <f>1000*Ported!C$29*IMABS(J196)</f>
        <v>4.3542179764893238E-4</v>
      </c>
      <c r="Z196" s="28">
        <f>Ported!C$29*IMABS(IMPRODUCT(C196,J196))</f>
        <v>1.9369717757207548E-3</v>
      </c>
      <c r="AA196" s="28">
        <f>1000*Ported!C$29*IMABS(L196)</f>
        <v>1.4679934892165509E-3</v>
      </c>
      <c r="AB196" s="41" t="str">
        <f t="shared" si="27"/>
        <v>0.113804510357844+0.0126658495249298i</v>
      </c>
      <c r="AC196" s="28">
        <f>20*LOG10(Ported!C$29*50000*IMABS(AB196))</f>
        <v>104.98328704142236</v>
      </c>
      <c r="AD196" s="28">
        <f t="shared" si="28"/>
        <v>177486.10226873899</v>
      </c>
      <c r="AE196" s="23">
        <f t="shared" si="29"/>
        <v>6.3505874401753974</v>
      </c>
      <c r="AG196" s="64"/>
      <c r="AH196" s="1"/>
      <c r="AI196" s="1"/>
      <c r="AJ196" s="1"/>
      <c r="AK196" s="2"/>
      <c r="AL196" s="2"/>
      <c r="AM196" s="2"/>
      <c r="AN196" s="2"/>
      <c r="AO196" s="2"/>
      <c r="AP196" s="2"/>
      <c r="AQ196" s="3"/>
      <c r="AR196" s="3"/>
      <c r="AS196" s="2"/>
      <c r="AT196" s="8"/>
      <c r="AU196" s="8"/>
    </row>
    <row r="197" spans="2:47" x14ac:dyDescent="0.25">
      <c r="B197" s="25">
        <v>724</v>
      </c>
      <c r="C197" s="17" t="str">
        <f t="shared" si="20"/>
        <v>4549.02616239802i</v>
      </c>
      <c r="D197" s="18" t="str">
        <f>COMPLEX(Ported!C$19,2*PI()*B197*Ported!C$20)</f>
        <v>6</v>
      </c>
      <c r="E197" s="19" t="str">
        <f>IMSUB(COMPLEX(1,0),IMDIV(COMPLEX(Ported!C$41,0),IMSUM(COMPLEX(Ported!C$41,0),IMPRODUCT(C197,COMPLEX(Ported!C$42,0)))))</f>
        <v>0.999964960808275+0.00591928745545546i</v>
      </c>
      <c r="F197" s="19" t="str">
        <f>IMDIV(IMPRODUCT(C197,COMPLEX((Ported!C$42*Ported!C$14/Ported!C$24),0)),IMSUM(COMPLEX(Ported!C$41,0),IMPRODUCT(C197,COMPLEX(Ported!C$42,0))))</f>
        <v>5.80290547204803+0.0343502691715551i</v>
      </c>
      <c r="G197" s="30" t="str">
        <f>IMPRODUCT(F197,IMSUB(COMPLEX(1,0),IMDIV(IMPRODUCT(COMPLEX(Ported!C$41,0),E197),IMSUM(COMPLEX(0-(2*PI()*B197)^2*Ported!C$38,0),IMPRODUCT(C197,COMPLEX(0,0)),IMPRODUCT(COMPLEX(Ported!C$41,0),E197)))))</f>
        <v>5.81288538319951+0.0344685269950667i</v>
      </c>
      <c r="H197" s="32" t="str">
        <f>IMDIV(COMPLEX(Ported!C$18,0),IMPRODUCT(D197,IMSUM(COMPLEX(Ported!C$16-(2*PI()*B197)^2*Ported!C$15,0),IMPRODUCT(C197,IMSUM(COMPLEX(Ported!C$17,0),IMDIV(COMPLEX(Ported!C$18^2,0),D197))),IMPRODUCT(COMPLEX(Ported!C$14*Ported!C$41/Ported!C$24,0),G197))))</f>
        <v>-0.0000012802036293662-1.31628569967175E-07i</v>
      </c>
      <c r="I197" s="27">
        <f t="shared" si="21"/>
        <v>-174.12956469841771</v>
      </c>
      <c r="J197" s="20" t="str">
        <f>IMPRODUCT(IMDIV(IMPRODUCT(COMPLEX(-Ported!C$41,0),F197),IMSUM(IMPRODUCT(COMPLEX(Ported!C$41,0),E197),COMPLEX(Calculations!C$3-(2*PI()*B197)^2*Ported!C$38,0),IMPRODUCT(COMPLEX(Calculations!C$4,0),C197))),H197)</f>
        <v>-1.27694246389955E-08-1.3894983199507E-09i</v>
      </c>
      <c r="K197" s="27">
        <f t="shared" si="22"/>
        <v>-173.78982327112089</v>
      </c>
      <c r="L197" s="40" t="str">
        <f>IMSUM(IMPRODUCT(COMPLEX(-(Ported!C$14/Ported!C$24),0),H197),IMDIV(IMPRODUCT(COMPLEX(-Ported!C$41,0),J197),IMSUM(COMPLEX(Ported!C$41,0),IMPRODUCT(COMPLEX(Ported!C$42,0),C197))),IMDIV(IMPRODUCT(COMPLEX(Ported!C$42*Ported!C$14/Ported!C$24,0),C197,H197),IMSUM(COMPLEX(Ported!C$41,0),IMPRODUCT(COMPLEX(Ported!C$42,0),C197))))</f>
        <v>4.79046087451245E-09-4.4024111612537E-08i</v>
      </c>
      <c r="M197" s="28">
        <f t="shared" si="23"/>
        <v>-83.789823271100659</v>
      </c>
      <c r="N197" s="39" t="str">
        <f>IMPRODUCT(COMPLEX((Ported!C$10*Ported!C$14)/(2*PI()),0),C197,C197,H197)</f>
        <v>0.11371311592964+0.0116918078444601i</v>
      </c>
      <c r="O197" s="28">
        <f t="shared" si="24"/>
        <v>5.8704353015822557</v>
      </c>
      <c r="P197" s="26" t="str">
        <f>IMPRODUCT(COMPLEX((Ported!C$10*Ported!C$24)/(2*PI()),0),C197,C197,J197)</f>
        <v>0.000195452901416703+0.0000212681061070394i</v>
      </c>
      <c r="Q197" s="23">
        <f t="shared" si="25"/>
        <v>6.2101767288791256</v>
      </c>
      <c r="R197" s="41" t="str">
        <f>IMPRODUCT(COMPLEX((Ported!C$10*Ported!C$24)/(2*PI()),0),C197,C197,L197)</f>
        <v>-0.000073324327721653+0.000673847145836637i</v>
      </c>
      <c r="S197" s="33">
        <f t="shared" si="26"/>
        <v>96.210176728899341</v>
      </c>
      <c r="T197" s="38">
        <f>IMABS(IMDIV(D197,IMSUB(COMPLEX(1,0),IMPRODUCT(COMPLEX(Ported!C$18,0),IMPRODUCT(C197,H197)))))</f>
        <v>6.031049565074305</v>
      </c>
      <c r="U197" s="21">
        <f>20*LOG10(Ported!C$29*50000*IMABS(N197))</f>
        <v>104.96851621305504</v>
      </c>
      <c r="V197" s="22">
        <f>20*LOG10(Ported!C$29*50000*IMABS(P197))</f>
        <v>49.678597375500715</v>
      </c>
      <c r="W197" s="22">
        <f>20*LOG10(Ported!C$29*50000*IMABS(R197))</f>
        <v>60.428982804765646</v>
      </c>
      <c r="X197" s="28">
        <f>1000*Ported!C$29*IMABS(H197)</f>
        <v>3.9895535639518726E-2</v>
      </c>
      <c r="Y197" s="28">
        <f>1000*Ported!C$29*IMABS(J197)</f>
        <v>3.9818882914471377E-4</v>
      </c>
      <c r="Z197" s="28">
        <f>Ported!C$29*IMABS(IMPRODUCT(C197,J197))</f>
        <v>1.8113714013539375E-3</v>
      </c>
      <c r="AA197" s="28">
        <f>1000*Ported!C$29*IMABS(L197)</f>
        <v>1.3728033919084986E-3</v>
      </c>
      <c r="AB197" s="41" t="str">
        <f t="shared" si="27"/>
        <v>0.113835244503335+0.0123869230964038i</v>
      </c>
      <c r="AC197" s="28">
        <f>20*LOG10(Ported!C$29*50000*IMABS(AB197))</f>
        <v>104.98328983460007</v>
      </c>
      <c r="AD197" s="28">
        <f t="shared" si="28"/>
        <v>177486.15934410249</v>
      </c>
      <c r="AE197" s="23">
        <f t="shared" si="29"/>
        <v>6.2101767288791025</v>
      </c>
      <c r="AG197" s="64"/>
      <c r="AH197" s="1"/>
      <c r="AI197" s="1"/>
      <c r="AJ197" s="1"/>
      <c r="AK197" s="2"/>
      <c r="AL197" s="2"/>
      <c r="AM197" s="2"/>
      <c r="AN197" s="2"/>
      <c r="AO197" s="2"/>
      <c r="AP197" s="2"/>
      <c r="AQ197" s="3"/>
      <c r="AR197" s="3"/>
      <c r="AS197" s="2"/>
      <c r="AT197" s="8"/>
      <c r="AU197" s="8"/>
    </row>
    <row r="198" spans="2:47" x14ac:dyDescent="0.25">
      <c r="B198" s="25">
        <v>741</v>
      </c>
      <c r="C198" s="17" t="str">
        <f t="shared" si="20"/>
        <v>4655.84031262007i</v>
      </c>
      <c r="D198" s="18" t="str">
        <f>COMPLEX(Ported!C$19,2*PI()*B198*Ported!C$20)</f>
        <v>6</v>
      </c>
      <c r="E198" s="19" t="str">
        <f>IMSUB(COMPLEX(1,0),IMDIV(COMPLEX(Ported!C$41,0),IMSUM(COMPLEX(Ported!C$41,0),IMPRODUCT(C198,COMPLEX(Ported!C$42,0)))))</f>
        <v>0.999966550048987+0.00578349653006934i</v>
      </c>
      <c r="F198" s="19" t="str">
        <f>IMDIV(IMPRODUCT(C198,COMPLEX((Ported!C$42*Ported!C$14/Ported!C$24),0)),IMSUM(COMPLEX(Ported!C$41,0),IMPRODUCT(C198,COMPLEX(Ported!C$42,0))))</f>
        <v>5.8029146945848+0.033562259656361i</v>
      </c>
      <c r="G198" s="30" t="str">
        <f>IMPRODUCT(F198,IMSUB(COMPLEX(1,0),IMDIV(IMPRODUCT(COMPLEX(Ported!C$41,0),E198),IMSUM(COMPLEX(0-(2*PI()*B198)^2*Ported!C$38,0),IMPRODUCT(C198,COMPLEX(0,0)),IMPRODUCT(COMPLEX(Ported!C$41,0),E198)))))</f>
        <v>5.81244124324529+0.0336725510206465i</v>
      </c>
      <c r="H198" s="32" t="str">
        <f>IMDIV(COMPLEX(Ported!C$18,0),IMPRODUCT(D198,IMSUM(COMPLEX(Ported!C$16-(2*PI()*B198)^2*Ported!C$15,0),IMPRODUCT(C198,IMSUM(COMPLEX(Ported!C$17,0),IMDIV(COMPLEX(Ported!C$18^2,0),D198))),IMPRODUCT(COMPLEX(Ported!C$14*Ported!C$41/Ported!C$24,0),G198))))</f>
        <v>-1.22252351098334E-06-1.22793814665588E-07i</v>
      </c>
      <c r="I198" s="27">
        <f t="shared" si="21"/>
        <v>-174.26428254884269</v>
      </c>
      <c r="J198" s="20" t="str">
        <f>IMPRODUCT(IMDIV(IMPRODUCT(COMPLEX(-Ported!C$41,0),F198),IMSUM(IMPRODUCT(COMPLEX(Ported!C$41,0),E198),COMPLEX(Calculations!C$3-(2*PI()*B198)^2*Ported!C$38,0),IMPRODUCT(COMPLEX(Calculations!C$4,0),C198))),H198)</f>
        <v>-1.16404322232577E-08-1.23735402657839E-09i</v>
      </c>
      <c r="K198" s="27">
        <f t="shared" si="22"/>
        <v>-173.93236117611914</v>
      </c>
      <c r="L198" s="40" t="str">
        <f>IMSUM(IMPRODUCT(COMPLEX(-(Ported!C$14/Ported!C$24),0),H198),IMDIV(IMPRODUCT(COMPLEX(-Ported!C$41,0),J198),IMSUM(COMPLEX(Ported!C$41,0),IMPRODUCT(COMPLEX(Ported!C$42,0),C198))),IMDIV(IMPRODUCT(COMPLEX(Ported!C$42*Ported!C$14/Ported!C$24,0),C198,H198),IMSUM(COMPLEX(Ported!C$41,0),IMPRODUCT(COMPLEX(Ported!C$42,0),C198))))</f>
        <v>4.36609206522634E-09-4.10740965592082E-08i</v>
      </c>
      <c r="M198" s="28">
        <f t="shared" si="23"/>
        <v>-83.932361176099647</v>
      </c>
      <c r="N198" s="39" t="str">
        <f>IMPRODUCT(COMPLEX((Ported!C$10*Ported!C$14)/(2*PI()),0),C198,C198,H198)</f>
        <v>0.113749110594955+0.0114252912760241i</v>
      </c>
      <c r="O198" s="28">
        <f t="shared" si="24"/>
        <v>5.7357174511572815</v>
      </c>
      <c r="P198" s="26" t="str">
        <f>IMPRODUCT(COMPLEX((Ported!C$10*Ported!C$24)/(2*PI()),0),C198,C198,J198)</f>
        <v>0.000186637617720521+0.0000198391952608143i</v>
      </c>
      <c r="Q198" s="23">
        <f t="shared" si="25"/>
        <v>6.0676388238808316</v>
      </c>
      <c r="R198" s="41" t="str">
        <f>IMPRODUCT(COMPLEX((Ported!C$10*Ported!C$24)/(2*PI()),0),C198,C198,L198)</f>
        <v>-0.0000700040175633839+0.000658564165385248i</v>
      </c>
      <c r="S198" s="33">
        <f t="shared" si="26"/>
        <v>96.067638823900339</v>
      </c>
      <c r="T198" s="38">
        <f>IMABS(IMDIV(D198,IMSUB(COMPLEX(1,0),IMPRODUCT(COMPLEX(Ported!C$18,0),IMPRODUCT(C198,H198)))))</f>
        <v>6.0296351571750249</v>
      </c>
      <c r="U198" s="21">
        <f>20*LOG10(Ported!C$29*50000*IMABS(N198))</f>
        <v>104.96918961450076</v>
      </c>
      <c r="V198" s="22">
        <f>20*LOG10(Ported!C$29*50000*IMABS(P198))</f>
        <v>49.27541447654918</v>
      </c>
      <c r="W198" s="22">
        <f>20*LOG10(Ported!C$29*50000*IMABS(R198))</f>
        <v>60.227392741457422</v>
      </c>
      <c r="X198" s="28">
        <f>1000*Ported!C$29*IMABS(H198)</f>
        <v>3.8088922479507084E-2</v>
      </c>
      <c r="Y198" s="28">
        <f>1000*Ported!C$29*IMABS(J198)</f>
        <v>3.6288635927163684E-4</v>
      </c>
      <c r="Z198" s="28">
        <f>Ported!C$29*IMABS(IMPRODUCT(C198,J198))</f>
        <v>1.6895409403968177E-3</v>
      </c>
      <c r="AA198" s="28">
        <f>1000*Ported!C$29*IMABS(L198)</f>
        <v>1.2804704391442157E-3</v>
      </c>
      <c r="AB198" s="41" t="str">
        <f t="shared" si="27"/>
        <v>0.113865744195112+0.0121036946366702i</v>
      </c>
      <c r="AC198" s="28">
        <f>20*LOG10(Ported!C$29*50000*IMABS(AB198))</f>
        <v>104.98329260693578</v>
      </c>
      <c r="AD198" s="28">
        <f t="shared" si="28"/>
        <v>177486.2159936009</v>
      </c>
      <c r="AE198" s="23">
        <f t="shared" si="29"/>
        <v>6.0676388238808681</v>
      </c>
      <c r="AG198" s="64"/>
      <c r="AH198" s="1"/>
      <c r="AI198" s="1"/>
      <c r="AJ198" s="1"/>
      <c r="AK198" s="2"/>
      <c r="AL198" s="2"/>
      <c r="AM198" s="2"/>
      <c r="AN198" s="2"/>
      <c r="AO198" s="2"/>
      <c r="AP198" s="2"/>
      <c r="AQ198" s="3"/>
      <c r="AR198" s="3"/>
      <c r="AS198" s="2"/>
      <c r="AT198" s="8"/>
      <c r="AU198" s="8"/>
    </row>
    <row r="199" spans="2:47" x14ac:dyDescent="0.25">
      <c r="B199" s="25">
        <v>759</v>
      </c>
      <c r="C199" s="17" t="str">
        <f t="shared" si="20"/>
        <v>4768.93764814931i</v>
      </c>
      <c r="D199" s="18" t="str">
        <f>COMPLEX(Ported!C$19,2*PI()*B199*Ported!C$20)</f>
        <v>6</v>
      </c>
      <c r="E199" s="19" t="str">
        <f>IMSUB(COMPLEX(1,0),IMDIV(COMPLEX(Ported!C$41,0),IMSUM(COMPLEX(Ported!C$41,0),IMPRODUCT(C199,COMPLEX(Ported!C$42,0)))))</f>
        <v>0.999968117744994+0.00564634736163181i</v>
      </c>
      <c r="F199" s="19" t="str">
        <f>IMDIV(IMPRODUCT(C199,COMPLEX((Ported!C$42*Ported!C$14/Ported!C$24),0)),IMSUM(COMPLEX(Ported!C$41,0),IMPRODUCT(C199,COMPLEX(Ported!C$42,0))))</f>
        <v>5.80292379209528+0.0327663681089514i</v>
      </c>
      <c r="G199" s="30" t="str">
        <f>IMPRODUCT(F199,IMSUB(COMPLEX(1,0),IMDIV(IMPRODUCT(COMPLEX(Ported!C$41,0),E199),IMSUM(COMPLEX(0-(2*PI()*B199)^2*Ported!C$38,0),IMPRODUCT(C199,COMPLEX(0,0)),IMPRODUCT(COMPLEX(Ported!C$41,0),E199)))))</f>
        <v>5.81200319077559+0.0328689857513077i</v>
      </c>
      <c r="H199" s="32" t="str">
        <f>IMDIV(COMPLEX(Ported!C$18,0),IMPRODUCT(D199,IMSUM(COMPLEX(Ported!C$16-(2*PI()*B199)^2*Ported!C$15,0),IMPRODUCT(C199,IMSUM(COMPLEX(Ported!C$17,0),IMDIV(COMPLEX(Ported!C$18^2,0),D199))),IMPRODUCT(COMPLEX(Ported!C$14*Ported!C$41/Ported!C$24,0),G199))))</f>
        <v>-1.16558955902001E-06-1.1427997897544E-07i</v>
      </c>
      <c r="I199" s="27">
        <f t="shared" si="21"/>
        <v>-174.40034454185522</v>
      </c>
      <c r="J199" s="20" t="str">
        <f>IMPRODUCT(IMDIV(IMPRODUCT(COMPLEX(-Ported!C$41,0),F199),IMSUM(IMPRODUCT(COMPLEX(Ported!C$41,0),E199),COMPLEX(Calculations!C$3-(2*PI()*B199)^2*Ported!C$38,0),IMPRODUCT(COMPLEX(Calculations!C$4,0),C199))),H199)</f>
        <v>-1.05776593434649E-08-1.09751339507621E-09i</v>
      </c>
      <c r="K199" s="27">
        <f t="shared" si="22"/>
        <v>-174.07631958496125</v>
      </c>
      <c r="L199" s="40" t="str">
        <f>IMSUM(IMPRODUCT(COMPLEX(-(Ported!C$14/Ported!C$24),0),H199),IMDIV(IMPRODUCT(COMPLEX(-Ported!C$41,0),J199),IMSUM(COMPLEX(Ported!C$41,0),IMPRODUCT(COMPLEX(Ported!C$42,0),C199))),IMDIV(IMPRODUCT(COMPLEX(Ported!C$42*Ported!C$14/Ported!C$24,0),C199,H199),IMSUM(COMPLEX(Ported!C$41,0),IMPRODUCT(COMPLEX(Ported!C$42,0),C199))))</f>
        <v>3.96672698506553E-09-3.82306830556673E-08i</v>
      </c>
      <c r="M199" s="28">
        <f t="shared" si="23"/>
        <v>-84.076319584954987</v>
      </c>
      <c r="N199" s="39" t="str">
        <f>IMPRODUCT(COMPLEX((Ported!C$10*Ported!C$14)/(2*PI()),0),C199,C199,H199)</f>
        <v>0.113784622738525+0.0111559889960063i</v>
      </c>
      <c r="O199" s="28">
        <f t="shared" si="24"/>
        <v>5.5996554581447873</v>
      </c>
      <c r="P199" s="26" t="str">
        <f>IMPRODUCT(COMPLEX((Ported!C$10*Ported!C$24)/(2*PI()),0),C199,C199,J199)</f>
        <v>0.000177937214666538+0.0000184623526092027i</v>
      </c>
      <c r="Q199" s="23">
        <f t="shared" si="25"/>
        <v>5.9236804150387457</v>
      </c>
      <c r="R199" s="41" t="str">
        <f>IMPRODUCT(COMPLEX((Ported!C$10*Ported!C$24)/(2*PI()),0),C199,C199,L199)</f>
        <v>-0.0000667282172876204+0.00064311593300908i</v>
      </c>
      <c r="S199" s="33">
        <f t="shared" si="26"/>
        <v>95.923680415045027</v>
      </c>
      <c r="T199" s="38">
        <f>IMABS(IMDIV(D199,IMSUB(COMPLEX(1,0),IMPRODUCT(COMPLEX(Ported!C$18,0),IMPRODUCT(C199,H199)))))</f>
        <v>6.0282404959769549</v>
      </c>
      <c r="U199" s="21">
        <f>20*LOG10(Ported!C$29*50000*IMABS(N199))</f>
        <v>104.96985383572425</v>
      </c>
      <c r="V199" s="22">
        <f>20*LOG10(Ported!C$29*50000*IMABS(P199))</f>
        <v>48.8584744952298</v>
      </c>
      <c r="W199" s="22">
        <f>20*LOG10(Ported!C$29*50000*IMABS(R199))</f>
        <v>60.018924118461413</v>
      </c>
      <c r="X199" s="28">
        <f>1000*Ported!C$29*IMABS(H199)</f>
        <v>3.6306531578727479E-2</v>
      </c>
      <c r="Y199" s="28">
        <f>1000*Ported!C$29*IMABS(J199)</f>
        <v>3.2966778389471163E-4</v>
      </c>
      <c r="Z199" s="28">
        <f>Ported!C$29*IMABS(IMPRODUCT(C199,J199))</f>
        <v>1.5721651059974419E-3</v>
      </c>
      <c r="AA199" s="28">
        <f>1000*Ported!C$29*IMABS(L199)</f>
        <v>1.1915135617909403E-3</v>
      </c>
      <c r="AB199" s="41" t="str">
        <f t="shared" si="27"/>
        <v>0.113895831735904+0.0118175672816246i</v>
      </c>
      <c r="AC199" s="28">
        <f>20*LOG10(Ported!C$29*50000*IMABS(AB199))</f>
        <v>104.98329534226249</v>
      </c>
      <c r="AD199" s="28">
        <f t="shared" si="28"/>
        <v>177486.27188688144</v>
      </c>
      <c r="AE199" s="23">
        <f t="shared" si="29"/>
        <v>5.9236804150387838</v>
      </c>
      <c r="AG199" s="64"/>
      <c r="AH199" s="1"/>
      <c r="AI199" s="1"/>
      <c r="AJ199" s="1"/>
      <c r="AK199" s="2"/>
      <c r="AL199" s="2"/>
      <c r="AM199" s="2"/>
      <c r="AN199" s="2"/>
      <c r="AO199" s="2"/>
      <c r="AP199" s="2"/>
      <c r="AQ199" s="3"/>
      <c r="AR199" s="3"/>
      <c r="AS199" s="2"/>
      <c r="AT199" s="8"/>
      <c r="AU199" s="8"/>
    </row>
    <row r="200" spans="2:47" x14ac:dyDescent="0.25">
      <c r="B200" s="25">
        <v>776</v>
      </c>
      <c r="C200" s="17" t="str">
        <f t="shared" si="20"/>
        <v>4875.75179837136i</v>
      </c>
      <c r="D200" s="18" t="str">
        <f>COMPLEX(Ported!C$19,2*PI()*B200*Ported!C$20)</f>
        <v>6</v>
      </c>
      <c r="E200" s="19" t="str">
        <f>IMSUB(COMPLEX(1,0),IMDIV(COMPLEX(Ported!C$41,0),IMSUM(COMPLEX(Ported!C$41,0),IMPRODUCT(C200,COMPLEX(Ported!C$42,0)))))</f>
        <v>0.999969499304652+0.00552265923769138i</v>
      </c>
      <c r="F200" s="19" t="str">
        <f>IMDIV(IMPRODUCT(C200,COMPLEX((Ported!C$42*Ported!C$14/Ported!C$24),0)),IMSUM(COMPLEX(Ported!C$41,0),IMPRODUCT(C200,COMPLEX(Ported!C$42,0))))</f>
        <v>5.80293180943629+0.0320485924674317i</v>
      </c>
      <c r="G200" s="30" t="str">
        <f>IMPRODUCT(F200,IMSUB(COMPLEX(1,0),IMDIV(IMPRODUCT(COMPLEX(Ported!C$41,0),E200),IMSUM(COMPLEX(0-(2*PI()*B200)^2*Ported!C$38,0),IMPRODUCT(C200,COMPLEX(0,0)),IMPRODUCT(COMPLEX(Ported!C$41,0),E200)))))</f>
        <v>5.81161720403818+0.0321446030750816i</v>
      </c>
      <c r="H200" s="32" t="str">
        <f>IMDIV(COMPLEX(Ported!C$18,0),IMPRODUCT(D200,IMSUM(COMPLEX(Ported!C$16-(2*PI()*B200)^2*Ported!C$15,0),IMPRODUCT(C200,IMSUM(COMPLEX(Ported!C$17,0),IMDIV(COMPLEX(Ported!C$18^2,0),D200))),IMPRODUCT(COMPLEX(Ported!C$14*Ported!C$41/Ported!C$24,0),G200))))</f>
        <v>-1.11538604932534E-06-1.0694661281134E-07i</v>
      </c>
      <c r="I200" s="27">
        <f t="shared" si="21"/>
        <v>-174.52304936012493</v>
      </c>
      <c r="J200" s="20" t="str">
        <f>IMPRODUCT(IMDIV(IMPRODUCT(COMPLEX(-Ported!C$41,0),F200),IMSUM(IMPRODUCT(COMPLEX(Ported!C$41,0),E200),COMPLEX(Calculations!C$3-(2*PI()*B200)^2*Ported!C$38,0),IMPRODUCT(COMPLEX(Calculations!C$4,0),C200))),H200)</f>
        <v>-9.68302140451605E-09-9.82516365785313E-10i</v>
      </c>
      <c r="K200" s="27">
        <f t="shared" si="22"/>
        <v>-174.20614422951274</v>
      </c>
      <c r="L200" s="40" t="str">
        <f>IMSUM(IMPRODUCT(COMPLEX(-(Ported!C$14/Ported!C$24),0),H200),IMDIV(IMPRODUCT(COMPLEX(-Ported!C$41,0),J200),IMSUM(COMPLEX(Ported!C$41,0),IMPRODUCT(COMPLEX(Ported!C$42,0),C200))),IMDIV(IMPRODUCT(COMPLEX(Ported!C$42*Ported!C$14/Ported!C$24,0),C200,H200),IMSUM(COMPLEX(Ported!C$41,0),IMPRODUCT(COMPLEX(Ported!C$42,0),C200))))</f>
        <v>3.63063190401974E-09-3.5781069570973E-08i</v>
      </c>
      <c r="M200" s="28">
        <f t="shared" si="23"/>
        <v>-84.206144229552322</v>
      </c>
      <c r="N200" s="39" t="str">
        <f>IMPRODUCT(COMPLEX((Ported!C$10*Ported!C$14)/(2*PI()),0),C200,C200,H200)</f>
        <v>0.113815922921152+0.0109130174685046i</v>
      </c>
      <c r="O200" s="28">
        <f t="shared" si="24"/>
        <v>5.4769506398750822</v>
      </c>
      <c r="P200" s="26" t="str">
        <f>IMPRODUCT(COMPLEX((Ported!C$10*Ported!C$24)/(2*PI()),0),C200,C200,J200)</f>
        <v>0.000170266023883427+0.0000172765449970645i</v>
      </c>
      <c r="Q200" s="23">
        <f t="shared" si="25"/>
        <v>5.7938557704872764</v>
      </c>
      <c r="R200" s="41" t="str">
        <f>IMPRODUCT(COMPLEX((Ported!C$10*Ported!C$24)/(2*PI()),0),C200,C200,L200)</f>
        <v>-0.0000638409472268077+0.00062917349777875i</v>
      </c>
      <c r="S200" s="33">
        <f t="shared" si="26"/>
        <v>95.793855770447678</v>
      </c>
      <c r="T200" s="38">
        <f>IMABS(IMDIV(D200,IMSUB(COMPLEX(1,0),IMPRODUCT(COMPLEX(Ported!C$18,0),IMPRODUCT(C200,H200)))))</f>
        <v>6.0270118970506363</v>
      </c>
      <c r="U200" s="21">
        <f>20*LOG10(Ported!C$29*50000*IMABS(N200))</f>
        <v>104.970439150217</v>
      </c>
      <c r="V200" s="22">
        <f>20*LOG10(Ported!C$29*50000*IMABS(P200))</f>
        <v>48.473679091749311</v>
      </c>
      <c r="W200" s="22">
        <f>20*LOG10(Ported!C$29*50000*IMABS(R200))</f>
        <v>59.826527622233961</v>
      </c>
      <c r="X200" s="28">
        <f>1000*Ported!C$29*IMABS(H200)</f>
        <v>3.4735546576347018E-2</v>
      </c>
      <c r="Y200" s="28">
        <f>1000*Ported!C$29*IMABS(J200)</f>
        <v>3.0171496233052025E-4</v>
      </c>
      <c r="Z200" s="28">
        <f>Ported!C$29*IMABS(IMPRODUCT(C200,J200))</f>
        <v>1.4710872701785809E-3</v>
      </c>
      <c r="AA200" s="28">
        <f>1000*Ported!C$29*IMABS(L200)</f>
        <v>1.1149086227069684E-3</v>
      </c>
      <c r="AB200" s="41" t="str">
        <f t="shared" si="27"/>
        <v>0.113922347997809+0.0115594675112804i</v>
      </c>
      <c r="AC200" s="28">
        <f>20*LOG10(Ported!C$29*50000*IMABS(AB200))</f>
        <v>104.98329775329047</v>
      </c>
      <c r="AD200" s="28">
        <f t="shared" si="28"/>
        <v>177486.32115350175</v>
      </c>
      <c r="AE200" s="23">
        <f t="shared" si="29"/>
        <v>5.7938557704872169</v>
      </c>
      <c r="AG200" s="64"/>
      <c r="AH200" s="1"/>
      <c r="AI200" s="1"/>
      <c r="AJ200" s="1"/>
      <c r="AK200" s="2"/>
      <c r="AL200" s="2"/>
      <c r="AM200" s="2"/>
      <c r="AN200" s="2"/>
      <c r="AO200" s="2"/>
      <c r="AP200" s="2"/>
      <c r="AQ200" s="3"/>
      <c r="AR200" s="3"/>
      <c r="AS200" s="2"/>
      <c r="AT200" s="8"/>
      <c r="AU200" s="8"/>
    </row>
    <row r="201" spans="2:47" x14ac:dyDescent="0.25">
      <c r="B201" s="25">
        <v>794</v>
      </c>
      <c r="C201" s="17" t="str">
        <f t="shared" si="20"/>
        <v>4988.84913390059i</v>
      </c>
      <c r="D201" s="18" t="str">
        <f>COMPLEX(Ported!C$19,2*PI()*B201*Ported!C$20)</f>
        <v>6</v>
      </c>
      <c r="E201" s="19" t="str">
        <f>IMSUB(COMPLEX(1,0),IMDIV(COMPLEX(Ported!C$41,0),IMSUM(COMPLEX(Ported!C$41,0),IMPRODUCT(C201,COMPLEX(Ported!C$42,0)))))</f>
        <v>0.99997086649266+0.00539746779323137i</v>
      </c>
      <c r="F201" s="19" t="str">
        <f>IMDIV(IMPRODUCT(C201,COMPLEX((Ported!C$42*Ported!C$14/Ported!C$24),0)),IMSUM(COMPLEX(Ported!C$41,0),IMPRODUCT(C201,COMPLEX(Ported!C$42,0))))</f>
        <v>5.80293974337713+0.0313220928933636i</v>
      </c>
      <c r="G201" s="30" t="str">
        <f>IMPRODUCT(F201,IMSUB(COMPLEX(1,0),IMDIV(IMPRODUCT(COMPLEX(Ported!C$41,0),E201),IMSUM(COMPLEX(0-(2*PI()*B201)^2*Ported!C$38,0),IMPRODUCT(C201,COMPLEX(0,0)),IMPRODUCT(COMPLEX(Ported!C$41,0),E201)))))</f>
        <v>5.81123528296219+0.0314117119457052i</v>
      </c>
      <c r="H201" s="32" t="str">
        <f>IMDIV(COMPLEX(Ported!C$18,0),IMPRODUCT(D201,IMSUM(COMPLEX(Ported!C$16-(2*PI()*B201)^2*Ported!C$15,0),IMPRODUCT(C201,IMSUM(COMPLEX(Ported!C$17,0),IMDIV(COMPLEX(Ported!C$18^2,0),D201))),IMPRODUCT(COMPLEX(Ported!C$14*Ported!C$41/Ported!C$24,0),G201))))</f>
        <v>-1.06567760005978E-06-9.98497118364281E-08i</v>
      </c>
      <c r="I201" s="27">
        <f t="shared" si="21"/>
        <v>-174.64724287202756</v>
      </c>
      <c r="J201" s="20" t="str">
        <f>IMPRODUCT(IMDIV(IMPRODUCT(COMPLEX(-Ported!C$41,0),F201),IMSUM(IMPRODUCT(COMPLEX(Ported!C$41,0),E201),COMPLEX(Calculations!C$3-(2*PI()*B201)^2*Ported!C$38,0),IMPRODUCT(COMPLEX(Calculations!C$4,0),C201))),H201)</f>
        <v>-8.83640867179126E-09-8.76143547633339E-10i</v>
      </c>
      <c r="K201" s="27">
        <f t="shared" si="22"/>
        <v>-174.33754262652653</v>
      </c>
      <c r="L201" s="40" t="str">
        <f>IMSUM(IMPRODUCT(COMPLEX(-(Ported!C$14/Ported!C$24),0),H201),IMDIV(IMPRODUCT(COMPLEX(-Ported!C$41,0),J201),IMSUM(COMPLEX(Ported!C$41,0),IMPRODUCT(COMPLEX(Ported!C$42,0),C201))),IMDIV(IMPRODUCT(COMPLEX(Ported!C$42*Ported!C$14/Ported!C$24,0),C201,H201),IMSUM(COMPLEX(Ported!C$41,0),IMPRODUCT(COMPLEX(Ported!C$42,0),C201))))</f>
        <v>3.31265703245756E-09-3.34100404066784E-08i</v>
      </c>
      <c r="M201" s="28">
        <f t="shared" si="23"/>
        <v>-84.337542626565366</v>
      </c>
      <c r="N201" s="39" t="str">
        <f>IMPRODUCT(COMPLEX((Ported!C$10*Ported!C$14)/(2*PI()),0),C201,C201,H201)</f>
        <v>0.113846901638168+0.0106669975247707i</v>
      </c>
      <c r="O201" s="28">
        <f t="shared" si="24"/>
        <v>5.3527571279724251</v>
      </c>
      <c r="P201" s="26" t="str">
        <f>IMPRODUCT(COMPLEX((Ported!C$10*Ported!C$24)/(2*PI()),0),C201,C201,J201)</f>
        <v>0.000162671120439239+0.0000161290924687658i</v>
      </c>
      <c r="Q201" s="23">
        <f t="shared" si="25"/>
        <v>5.6624573734734964</v>
      </c>
      <c r="R201" s="41" t="str">
        <f>IMPRODUCT(COMPLEX((Ported!C$10*Ported!C$24)/(2*PI()),0),C201,C201,L201)</f>
        <v>-0.0000609833305719616+0.000615051760136949i</v>
      </c>
      <c r="S201" s="33">
        <f t="shared" si="26"/>
        <v>95.662457373434634</v>
      </c>
      <c r="T201" s="38">
        <f>IMABS(IMDIV(D201,IMSUB(COMPLEX(1,0),IMPRODUCT(COMPLEX(Ported!C$18,0),IMPRODUCT(C201,H201)))))</f>
        <v>6.0257965125655284</v>
      </c>
      <c r="U201" s="21">
        <f>20*LOG10(Ported!C$29*50000*IMABS(N201))</f>
        <v>104.97101833712955</v>
      </c>
      <c r="V201" s="22">
        <f>20*LOG10(Ported!C$29*50000*IMABS(P201))</f>
        <v>48.075330231376498</v>
      </c>
      <c r="W201" s="22">
        <f>20*LOG10(Ported!C$29*50000*IMABS(R201))</f>
        <v>59.627354385239684</v>
      </c>
      <c r="X201" s="28">
        <f>1000*Ported!C$29*IMABS(H201)</f>
        <v>3.3180699245891336E-2</v>
      </c>
      <c r="Y201" s="28">
        <f>1000*Ported!C$29*IMABS(J201)</f>
        <v>2.7527187587448812E-4</v>
      </c>
      <c r="Z201" s="28">
        <f>Ported!C$29*IMABS(IMPRODUCT(C201,J201))</f>
        <v>1.3732898595436309E-3</v>
      </c>
      <c r="AA201" s="28">
        <f>1000*Ported!C$29*IMABS(L201)</f>
        <v>1.0407898544968343E-3</v>
      </c>
      <c r="AB201" s="41" t="str">
        <f t="shared" si="27"/>
        <v>0.113948589428035+0.0112981783773764i</v>
      </c>
      <c r="AC201" s="28">
        <f>20*LOG10(Ported!C$29*50000*IMABS(AB201))</f>
        <v>104.98330013967379</v>
      </c>
      <c r="AD201" s="28">
        <f t="shared" si="28"/>
        <v>177486.36991655017</v>
      </c>
      <c r="AE201" s="23">
        <f t="shared" si="29"/>
        <v>5.6624573734734849</v>
      </c>
      <c r="AG201" s="64"/>
      <c r="AH201" s="1"/>
      <c r="AI201" s="1"/>
      <c r="AJ201" s="1"/>
      <c r="AK201" s="2"/>
      <c r="AL201" s="2"/>
      <c r="AM201" s="2"/>
      <c r="AN201" s="2"/>
      <c r="AO201" s="2"/>
      <c r="AP201" s="2"/>
      <c r="AQ201" s="3"/>
      <c r="AR201" s="3"/>
      <c r="AS201" s="2"/>
      <c r="AT201" s="8"/>
      <c r="AU201" s="8"/>
    </row>
    <row r="202" spans="2:47" x14ac:dyDescent="0.25">
      <c r="B202" s="25">
        <v>813</v>
      </c>
      <c r="C202" s="17" t="str">
        <f t="shared" si="20"/>
        <v>5108.229654737i</v>
      </c>
      <c r="D202" s="18" t="str">
        <f>COMPLEX(Ported!C$19,2*PI()*B202*Ported!C$20)</f>
        <v>6</v>
      </c>
      <c r="E202" s="19" t="str">
        <f>IMSUB(COMPLEX(1,0),IMDIV(COMPLEX(Ported!C$41,0),IMSUM(COMPLEX(Ported!C$41,0),IMPRODUCT(C202,COMPLEX(Ported!C$42,0)))))</f>
        <v>0.999972212257229+0.00527133480367544i</v>
      </c>
      <c r="F202" s="19" t="str">
        <f>IMDIV(IMPRODUCT(C202,COMPLEX((Ported!C$42*Ported!C$14/Ported!C$24),0)),IMSUM(COMPLEX(Ported!C$41,0),IMPRODUCT(C202,COMPLEX(Ported!C$42,0))))</f>
        <v>5.80294755299532+0.0305901294306554i</v>
      </c>
      <c r="G202" s="30" t="str">
        <f>IMPRODUCT(F202,IMSUB(COMPLEX(1,0),IMDIV(IMPRODUCT(COMPLEX(Ported!C$41,0),E202),IMSUM(COMPLEX(0-(2*PI()*B202)^2*Ported!C$38,0),IMPRODUCT(C202,COMPLEX(0,0)),IMPRODUCT(COMPLEX(Ported!C$41,0),E202)))))</f>
        <v>5.81085939547292+0.0306736028799553i</v>
      </c>
      <c r="H202" s="32" t="str">
        <f>IMDIV(COMPLEX(Ported!C$18,0),IMPRODUCT(D202,IMSUM(COMPLEX(Ported!C$16-(2*PI()*B202)^2*Ported!C$15,0),IMPRODUCT(C202,IMSUM(COMPLEX(Ported!C$17,0),IMDIV(COMPLEX(Ported!C$18^2,0),D202))),IMPRODUCT(COMPLEX(Ported!C$14*Ported!C$41/Ported!C$24,0),G202))))</f>
        <v>-1.01672165618416E-06-9.3023339976004E-08i</v>
      </c>
      <c r="I202" s="27">
        <f t="shared" si="21"/>
        <v>-174.77236776329687</v>
      </c>
      <c r="J202" s="20" t="str">
        <f>IMPRODUCT(IMDIV(IMPRODUCT(COMPLEX(-Ported!C$41,0),F202),IMSUM(IMPRODUCT(COMPLEX(Ported!C$41,0),E202),COMPLEX(Calculations!C$3-(2*PI()*B202)^2*Ported!C$38,0),IMPRODUCT(COMPLEX(Calculations!C$4,0),C202))),H202)</f>
        <v>-8.04070373147089E-09-7.7849166735077E-10i</v>
      </c>
      <c r="K202" s="27">
        <f t="shared" si="22"/>
        <v>-174.4699251219281</v>
      </c>
      <c r="L202" s="40" t="str">
        <f>IMSUM(IMPRODUCT(COMPLEX(-(Ported!C$14/Ported!C$24),0),H202),IMDIV(IMPRODUCT(COMPLEX(-Ported!C$41,0),J202),IMSUM(COMPLEX(Ported!C$41,0),IMPRODUCT(COMPLEX(Ported!C$42,0),C202))),IMDIV(IMPRODUCT(COMPLEX(Ported!C$42*Ported!C$14/Ported!C$24,0),C202,H202),IMSUM(COMPLEX(Ported!C$41,0),IMPRODUCT(COMPLEX(Ported!C$42,0),C202))))</f>
        <v>3.01387488359761E-09-3.11290101604095E-08i</v>
      </c>
      <c r="M202" s="28">
        <f t="shared" si="23"/>
        <v>-84.469925121934111</v>
      </c>
      <c r="N202" s="39" t="str">
        <f>IMPRODUCT(COMPLEX((Ported!C$10*Ported!C$14)/(2*PI()),0),C202,C202,H202)</f>
        <v>0.11387739894411+0.010419032518023i</v>
      </c>
      <c r="O202" s="28">
        <f t="shared" si="24"/>
        <v>5.227632236703097</v>
      </c>
      <c r="P202" s="26" t="str">
        <f>IMPRODUCT(COMPLEX((Ported!C$10*Ported!C$24)/(2*PI()),0),C202,C202,J202)</f>
        <v>0.000155191814704839+0.0000150254926214849i</v>
      </c>
      <c r="Q202" s="23">
        <f t="shared" si="25"/>
        <v>5.5300748780719156</v>
      </c>
      <c r="R202" s="41" t="str">
        <f>IMPRODUCT(COMPLEX((Ported!C$10*Ported!C$24)/(2*PI()),0),C202,C202,L202)</f>
        <v>-0.0000581701214345434+0.000600814025500176i</v>
      </c>
      <c r="S202" s="33">
        <f t="shared" si="26"/>
        <v>95.530074878065889</v>
      </c>
      <c r="T202" s="38">
        <f>IMABS(IMDIV(D202,IMSUB(COMPLEX(1,0),IMPRODUCT(COMPLEX(Ported!C$18,0),IMPRODUCT(C202,H202)))))</f>
        <v>6.0246005941855598</v>
      </c>
      <c r="U202" s="21">
        <f>20*LOG10(Ported!C$29*50000*IMABS(N202))</f>
        <v>104.97158841060745</v>
      </c>
      <c r="V202" s="22">
        <f>20*LOG10(Ported!C$29*50000*IMABS(P202))</f>
        <v>47.664530854111085</v>
      </c>
      <c r="W202" s="22">
        <f>20*LOG10(Ported!C$29*50000*IMABS(R202))</f>
        <v>59.421955871314168</v>
      </c>
      <c r="X202" s="28">
        <f>1000*Ported!C$29*IMABS(H202)</f>
        <v>3.1650017274635414E-2</v>
      </c>
      <c r="Y202" s="28">
        <f>1000*Ported!C$29*IMABS(J202)</f>
        <v>2.5042736693153345E-4</v>
      </c>
      <c r="Z202" s="28">
        <f>Ported!C$29*IMABS(IMPRODUCT(C202,J202))</f>
        <v>1.2792405021173616E-3</v>
      </c>
      <c r="AA202" s="28">
        <f>1000*Ported!C$29*IMABS(L202)</f>
        <v>9.6951166340637947E-4</v>
      </c>
      <c r="AB202" s="41" t="str">
        <f t="shared" si="27"/>
        <v>0.11397442063738+0.0110348720361447i</v>
      </c>
      <c r="AC202" s="28">
        <f>20*LOG10(Ported!C$29*50000*IMABS(AB202))</f>
        <v>104.98330248908727</v>
      </c>
      <c r="AD202" s="28">
        <f t="shared" si="28"/>
        <v>177486.41792417396</v>
      </c>
      <c r="AE202" s="23">
        <f t="shared" si="29"/>
        <v>5.5300748780719413</v>
      </c>
      <c r="AG202" s="64"/>
      <c r="AH202" s="1"/>
      <c r="AI202" s="1"/>
      <c r="AJ202" s="1"/>
      <c r="AK202" s="2"/>
      <c r="AL202" s="2"/>
      <c r="AM202" s="2"/>
      <c r="AN202" s="2"/>
      <c r="AO202" s="2"/>
      <c r="AP202" s="2"/>
      <c r="AQ202" s="3"/>
      <c r="AR202" s="3"/>
      <c r="AS202" s="2"/>
      <c r="AT202" s="8"/>
      <c r="AU202" s="8"/>
    </row>
    <row r="203" spans="2:47" x14ac:dyDescent="0.25">
      <c r="B203" s="25">
        <v>832</v>
      </c>
      <c r="C203" s="17" t="str">
        <f t="shared" ref="C203:C211" si="30">COMPLEX(0,2*PI()*B203)</f>
        <v>5227.61017557342i</v>
      </c>
      <c r="D203" s="18" t="str">
        <f>COMPLEX(Ported!C$19,2*PI()*B203*Ported!C$20)</f>
        <v>6</v>
      </c>
      <c r="E203" s="19" t="str">
        <f>IMSUB(COMPLEX(1,0),IMDIV(COMPLEX(Ported!C$41,0),IMSUM(COMPLEX(Ported!C$41,0),IMPRODUCT(C203,COMPLEX(Ported!C$42,0)))))</f>
        <v>0.999973466884136+0.00515096222639495i</v>
      </c>
      <c r="F203" s="19" t="str">
        <f>IMDIV(IMPRODUCT(C203,COMPLEX((Ported!C$42*Ported!C$14/Ported!C$24),0)),IMSUM(COMPLEX(Ported!C$41,0),IMPRODUCT(C203,COMPLEX(Ported!C$42,0))))</f>
        <v>5.80295483373178+0.0298915942671624i</v>
      </c>
      <c r="G203" s="30" t="str">
        <f>IMPRODUCT(F203,IMSUB(COMPLEX(1,0),IMDIV(IMPRODUCT(COMPLEX(Ported!C$41,0),E203),IMSUM(COMPLEX(0-(2*PI()*B203)^2*Ported!C$38,0),IMPRODUCT(C203,COMPLEX(0,0)),IMPRODUCT(COMPLEX(Ported!C$41,0),E203)))))</f>
        <v>5.810509007552+0.0299694715871281i</v>
      </c>
      <c r="H203" s="32" t="str">
        <f>IMDIV(COMPLEX(Ported!C$18,0),IMPRODUCT(D203,IMSUM(COMPLEX(Ported!C$16-(2*PI()*B203)^2*Ported!C$15,0),IMPRODUCT(C203,IMSUM(COMPLEX(Ported!C$17,0),IMDIV(COMPLEX(Ported!C$18^2,0),D203))),IMPRODUCT(COMPLEX(Ported!C$14*Ported!C$41/Ported!C$24,0),G203))))</f>
        <v>-9.71057493449541E-07-8.68050686412081E-08i</v>
      </c>
      <c r="I203" s="27">
        <f t="shared" ref="I203:I211" si="31">(180/PI())*IMARGUMENT(H203)</f>
        <v>-174.89177584859308</v>
      </c>
      <c r="J203" s="20" t="str">
        <f>IMPRODUCT(IMDIV(IMPRODUCT(COMPLEX(-Ported!C$41,0),F203),IMSUM(IMPRODUCT(COMPLEX(Ported!C$41,0),E203),COMPLEX(Calculations!C$3-(2*PI()*B203)^2*Ported!C$38,0),IMPRODUCT(COMPLEX(Calculations!C$4,0),C203))),H203)</f>
        <v>-7.33254427678188E-09-6.93612677226278E-10i</v>
      </c>
      <c r="K203" s="27">
        <f t="shared" ref="K203:K211" si="32">(180/PI())*IMARGUMENT(J203)</f>
        <v>-174.59625801920262</v>
      </c>
      <c r="L203" s="40" t="str">
        <f>IMSUM(IMPRODUCT(COMPLEX(-(Ported!C$14/Ported!C$24),0),H203),IMDIV(IMPRODUCT(COMPLEX(-Ported!C$41,0),J203),IMSUM(COMPLEX(Ported!C$41,0),IMPRODUCT(COMPLEX(Ported!C$42,0),C203))),IMDIV(IMPRODUCT(COMPLEX(Ported!C$42*Ported!C$14/Ported!C$24,0),C203,H203),IMSUM(COMPLEX(Ported!C$41,0),IMPRODUCT(COMPLEX(Ported!C$42,0),C203))))</f>
        <v>2.74802736880729E-09-2.90508420870604E-08i</v>
      </c>
      <c r="M203" s="28">
        <f t="shared" ref="M203:M211" si="33">(180/PI())*IMARGUMENT(L203)</f>
        <v>-84.596258019228202</v>
      </c>
      <c r="N203" s="39" t="str">
        <f>IMPRODUCT(COMPLEX((Ported!C$10*Ported!C$14)/(2*PI()),0),C203,C203,H203)</f>
        <v>0.113905834505391+0.0101823052183556i</v>
      </c>
      <c r="O203" s="28">
        <f t="shared" ref="O203:O211" si="34">(180/PI())*IMARGUMENT(N203)</f>
        <v>5.1082241514069286</v>
      </c>
      <c r="P203" s="26" t="str">
        <f>IMPRODUCT(COMPLEX((Ported!C$10*Ported!C$24)/(2*PI()),0),C203,C203,J203)</f>
        <v>0.000148215972058849+0.0000140203009087799i</v>
      </c>
      <c r="Q203" s="23">
        <f t="shared" ref="Q203:Q211" si="35">(180/PI())*IMARGUMENT(P203)</f>
        <v>5.4037419807973928</v>
      </c>
      <c r="R203" s="41" t="str">
        <f>IMPRODUCT(COMPLEX((Ported!C$10*Ported!C$24)/(2*PI()),0),C203,C203,L203)</f>
        <v>-0.0000555470969335696+0.000587217565490313i</v>
      </c>
      <c r="S203" s="33">
        <f t="shared" ref="S203:S211" si="36">(180/PI())*IMARGUMENT(R203)</f>
        <v>95.403741980771798</v>
      </c>
      <c r="T203" s="38">
        <f>IMABS(IMDIV(D203,IMSUB(COMPLEX(1,0),IMPRODUCT(COMPLEX(Ported!C$18,0),IMPRODUCT(C203,H203)))))</f>
        <v>6.0234860419674767</v>
      </c>
      <c r="U203" s="21">
        <f>20*LOG10(Ported!C$29*50000*IMABS(N203))</f>
        <v>104.97211984393282</v>
      </c>
      <c r="V203" s="22">
        <f>20*LOG10(Ported!C$29*50000*IMABS(P203))</f>
        <v>47.263221816930553</v>
      </c>
      <c r="W203" s="22">
        <f>20*LOG10(Ported!C$29*50000*IMABS(R203))</f>
        <v>59.22130244806651</v>
      </c>
      <c r="X203" s="28">
        <f>1000*Ported!C$29*IMABS(H203)</f>
        <v>3.0222818403993757E-2</v>
      </c>
      <c r="Y203" s="28">
        <f>1000*Ported!C$29*IMABS(J203)</f>
        <v>2.2832358453829003E-4</v>
      </c>
      <c r="Z203" s="28">
        <f>Ported!C$29*IMABS(IMPRODUCT(C203,J203))</f>
        <v>1.1935866938557629E-3</v>
      </c>
      <c r="AA203" s="28">
        <f>1000*Ported!C$29*IMABS(L203)</f>
        <v>9.0459629683740104E-4</v>
      </c>
      <c r="AB203" s="41" t="str">
        <f t="shared" ref="AB203:AB211" si="37">IMSUM(N203,P203,R203)</f>
        <v>0.113998503380516+0.0107835430847547i</v>
      </c>
      <c r="AC203" s="28">
        <f>20*LOG10(Ported!C$29*50000*IMABS(AB203))</f>
        <v>104.98330467977298</v>
      </c>
      <c r="AD203" s="28">
        <f t="shared" ref="AD203:AD211" si="38">10^(AC203/20)</f>
        <v>177486.46268838667</v>
      </c>
      <c r="AE203" s="23">
        <f t="shared" ref="AE203:AE211" si="39">(180/PI())*IMARGUMENT(AB203)</f>
        <v>5.4037419807973937</v>
      </c>
      <c r="AG203" s="64"/>
      <c r="AH203" s="1"/>
      <c r="AI203" s="1"/>
      <c r="AJ203" s="1"/>
      <c r="AK203" s="2"/>
      <c r="AL203" s="2"/>
      <c r="AM203" s="2"/>
      <c r="AN203" s="2"/>
      <c r="AO203" s="2"/>
      <c r="AP203" s="2"/>
      <c r="AQ203" s="3"/>
      <c r="AR203" s="3"/>
      <c r="AS203" s="2"/>
      <c r="AT203" s="8"/>
      <c r="AU203" s="8"/>
    </row>
    <row r="204" spans="2:47" x14ac:dyDescent="0.25">
      <c r="B204" s="25">
        <v>851</v>
      </c>
      <c r="C204" s="17" t="str">
        <f t="shared" si="30"/>
        <v>5346.99069640983i</v>
      </c>
      <c r="D204" s="18" t="str">
        <f>COMPLEX(Ported!C$19,2*PI()*B204*Ported!C$20)</f>
        <v>6</v>
      </c>
      <c r="E204" s="19" t="str">
        <f>IMSUB(COMPLEX(1,0),IMDIV(COMPLEX(Ported!C$41,0),IMSUM(COMPLEX(Ported!C$41,0),IMPRODUCT(C204,COMPLEX(Ported!C$42,0)))))</f>
        <v>0.999974638420668+0.00503596426936716i</v>
      </c>
      <c r="F204" s="19" t="str">
        <f>IMDIV(IMPRODUCT(C204,COMPLEX((Ported!C$42*Ported!C$14/Ported!C$24),0)),IMSUM(COMPLEX(Ported!C$41,0),IMPRODUCT(C204,COMPLEX(Ported!C$42,0))))</f>
        <v>5.80296163228574+0.0292242486097991i</v>
      </c>
      <c r="G204" s="30" t="str">
        <f>IMPRODUCT(F204,IMSUB(COMPLEX(1,0),IMDIV(IMPRODUCT(COMPLEX(Ported!C$41,0),E204),IMSUM(COMPLEX(0-(2*PI()*B204)^2*Ported!C$38,0),IMPRODUCT(C204,COMPLEX(0,0)),IMPRODUCT(COMPLEX(Ported!C$41,0),E204)))))</f>
        <v>5.8101818629564+0.0292970191941979i</v>
      </c>
      <c r="H204" s="32" t="str">
        <f>IMDIV(COMPLEX(Ported!C$18,0),IMPRODUCT(D204,IMSUM(COMPLEX(Ported!C$16-(2*PI()*B204)^2*Ported!C$15,0),IMPRODUCT(C204,IMSUM(COMPLEX(Ported!C$17,0),IMDIV(COMPLEX(Ported!C$18^2,0),D204))),IMPRODUCT(COMPLEX(Ported!C$14*Ported!C$41/Ported!C$24,0),G204))))</f>
        <v>-9.28396969163932E-07-8.11286909620848E-08i</v>
      </c>
      <c r="I204" s="27">
        <f t="shared" si="31"/>
        <v>-175.00585020967921</v>
      </c>
      <c r="J204" s="20" t="str">
        <f>IMPRODUCT(IMDIV(IMPRODUCT(COMPLEX(-Ported!C$41,0),F204),IMSUM(IMPRODUCT(COMPLEX(Ported!C$41,0),E204),COMPLEX(Calculations!C$3-(2*PI()*B204)^2*Ported!C$38,0),IMPRODUCT(COMPLEX(Calculations!C$4,0),C204))),H204)</f>
        <v>-6.7006267082472E-09-6.19599450093084E-10i</v>
      </c>
      <c r="K204" s="27">
        <f t="shared" si="32"/>
        <v>-174.71694680430537</v>
      </c>
      <c r="L204" s="40" t="str">
        <f>IMSUM(IMPRODUCT(COMPLEX(-(Ported!C$14/Ported!C$24),0),H204),IMDIV(IMPRODUCT(COMPLEX(-Ported!C$41,0),J204),IMSUM(COMPLEX(Ported!C$41,0),IMPRODUCT(COMPLEX(Ported!C$42,0),C204))),IMDIV(IMPRODUCT(COMPLEX(Ported!C$42*Ported!C$14/Ported!C$24,0),C204,H204),IMSUM(COMPLEX(Ported!C$41,0),IMPRODUCT(COMPLEX(Ported!C$42,0),C204))))</f>
        <v>2.51085300962808E-09-2.71534920415175E-08i</v>
      </c>
      <c r="M204" s="28">
        <f t="shared" si="33"/>
        <v>-84.716946804378551</v>
      </c>
      <c r="N204" s="39" t="str">
        <f>IMPRODUCT(COMPLEX((Ported!C$10*Ported!C$14)/(2*PI()),0),C204,C204,H204)</f>
        <v>0.113932389987341+0.00995607047939703i</v>
      </c>
      <c r="O204" s="28">
        <f t="shared" si="34"/>
        <v>4.9941497903207797</v>
      </c>
      <c r="P204" s="26" t="str">
        <f>IMPRODUCT(COMPLEX((Ported!C$10*Ported!C$24)/(2*PI()),0),C204,C204,J204)</f>
        <v>0.000141699462933274+0.0000131027906992461i</v>
      </c>
      <c r="Q204" s="23">
        <f t="shared" si="35"/>
        <v>5.2830531956946123</v>
      </c>
      <c r="R204" s="41" t="str">
        <f>IMPRODUCT(COMPLEX((Ported!C$10*Ported!C$24)/(2*PI()),0),C204,C204,L204)</f>
        <v>-0.0000530974994519224+0.00057422020455344i</v>
      </c>
      <c r="S204" s="33">
        <f t="shared" si="36"/>
        <v>95.283053195621434</v>
      </c>
      <c r="T204" s="38">
        <f>IMABS(IMDIV(D204,IMSUB(COMPLEX(1,0),IMPRODUCT(COMPLEX(Ported!C$18,0),IMPRODUCT(C204,H204)))))</f>
        <v>6.0224456311101235</v>
      </c>
      <c r="U204" s="21">
        <f>20*LOG10(Ported!C$29*50000*IMABS(N204))</f>
        <v>104.97261605256213</v>
      </c>
      <c r="V204" s="22">
        <f>20*LOG10(Ported!C$29*50000*IMABS(P204))</f>
        <v>46.870974511108912</v>
      </c>
      <c r="W204" s="22">
        <f>20*LOG10(Ported!C$29*50000*IMABS(R204))</f>
        <v>59.025179818121707</v>
      </c>
      <c r="X204" s="28">
        <f>1000*Ported!C$29*IMABS(H204)</f>
        <v>2.8889984212056029E-2</v>
      </c>
      <c r="Y204" s="28">
        <f>1000*Ported!C$29*IMABS(J204)</f>
        <v>2.0860558955387544E-4</v>
      </c>
      <c r="Z204" s="28">
        <f>Ported!C$29*IMABS(IMPRODUCT(C204,J204))</f>
        <v>1.1154121465636595E-3</v>
      </c>
      <c r="AA204" s="28">
        <f>1000*Ported!C$29*IMABS(L204)</f>
        <v>8.4534931766826952E-4</v>
      </c>
      <c r="AB204" s="41" t="str">
        <f t="shared" si="37"/>
        <v>0.114020991950822+0.0105433934746497i</v>
      </c>
      <c r="AC204" s="28">
        <f>20*LOG10(Ported!C$29*50000*IMABS(AB204))</f>
        <v>104.98330672570592</v>
      </c>
      <c r="AD204" s="28">
        <f t="shared" si="38"/>
        <v>177486.50449474825</v>
      </c>
      <c r="AE204" s="23">
        <f t="shared" si="39"/>
        <v>5.2830531956946221</v>
      </c>
      <c r="AG204" s="64"/>
      <c r="AH204" s="1"/>
      <c r="AI204" s="1"/>
      <c r="AJ204" s="1"/>
      <c r="AK204" s="2"/>
      <c r="AL204" s="2"/>
      <c r="AM204" s="2"/>
      <c r="AN204" s="2"/>
      <c r="AO204" s="2"/>
      <c r="AP204" s="2"/>
      <c r="AQ204" s="3"/>
      <c r="AR204" s="3"/>
      <c r="AS204" s="2"/>
      <c r="AT204" s="8"/>
      <c r="AU204" s="8"/>
    </row>
    <row r="205" spans="2:47" x14ac:dyDescent="0.25">
      <c r="B205" s="25">
        <v>871</v>
      </c>
      <c r="C205" s="17" t="str">
        <f t="shared" si="30"/>
        <v>5472.65440255342i</v>
      </c>
      <c r="D205" s="18" t="str">
        <f>COMPLEX(Ported!C$19,2*PI()*B205*Ported!C$20)</f>
        <v>6</v>
      </c>
      <c r="E205" s="19" t="str">
        <f>IMSUB(COMPLEX(1,0),IMDIV(COMPLEX(Ported!C$41,0),IMSUM(COMPLEX(Ported!C$41,0),IMPRODUCT(C205,COMPLEX(Ported!C$42,0)))))</f>
        <v>0.999975789731559+0.00492033355616646i</v>
      </c>
      <c r="F205" s="19" t="str">
        <f>IMDIV(IMPRODUCT(C205,COMPLEX((Ported!C$42*Ported!C$14/Ported!C$24),0)),IMSUM(COMPLEX(Ported!C$41,0),IMPRODUCT(C205,COMPLEX(Ported!C$42,0))))</f>
        <v>5.80296831346811+0.0285532309995152i</v>
      </c>
      <c r="G205" s="30" t="str">
        <f>IMPRODUCT(F205,IMSUB(COMPLEX(1,0),IMDIV(IMPRODUCT(COMPLEX(Ported!C$41,0),E205),IMSUM(COMPLEX(0-(2*PI()*B205)^2*Ported!C$38,0),IMPRODUCT(C205,COMPLEX(0,0)),IMPRODUCT(COMPLEX(Ported!C$41,0),E205)))))</f>
        <v>5.80986040211956+0.0286210973156461i</v>
      </c>
      <c r="H205" s="32" t="str">
        <f>IMDIV(COMPLEX(Ported!C$18,0),IMPRODUCT(D205,IMSUM(COMPLEX(Ported!C$16-(2*PI()*B205)^2*Ported!C$15,0),IMPRODUCT(C205,IMSUM(COMPLEX(Ported!C$17,0),IMDIV(COMPLEX(Ported!C$18^2,0),D205))),IMPRODUCT(COMPLEX(Ported!C$14*Ported!C$41/Ported!C$24,0),G205))))</f>
        <v>-8.86453588003985E-07-7.56756110334673E-08i</v>
      </c>
      <c r="I205" s="27">
        <f t="shared" si="31"/>
        <v>-175.12055015726344</v>
      </c>
      <c r="J205" s="20" t="str">
        <f>IMPRODUCT(IMDIV(IMPRODUCT(COMPLEX(-Ported!C$41,0),F205),IMSUM(IMPRODUCT(COMPLEX(Ported!C$41,0),E205),COMPLEX(Calculations!C$3-(2*PI()*B205)^2*Ported!C$38,0),IMPRODUCT(COMPLEX(Calculations!C$4,0),C205))),H205)</f>
        <v>-6.10724323126491E-09-5.51687042121176E-10i</v>
      </c>
      <c r="K205" s="27">
        <f t="shared" si="32"/>
        <v>-174.83829641926386</v>
      </c>
      <c r="L205" s="40" t="str">
        <f>IMSUM(IMPRODUCT(COMPLEX(-(Ported!C$14/Ported!C$24),0),H205),IMDIV(IMPRODUCT(COMPLEX(-Ported!C$41,0),J205),IMSUM(COMPLEX(Ported!C$41,0),IMPRODUCT(COMPLEX(Ported!C$42,0),C205))),IMDIV(IMPRODUCT(COMPLEX(Ported!C$42*Ported!C$14/Ported!C$24,0),C205,H205),IMSUM(COMPLEX(Ported!C$41,0),IMPRODUCT(COMPLEX(Ported!C$42,0),C205))))</f>
        <v>2.28818768419382E-09-2.53305183544391E-08i</v>
      </c>
      <c r="M205" s="28">
        <f t="shared" si="33"/>
        <v>-84.838296419337397</v>
      </c>
      <c r="N205" s="39" t="str">
        <f>IMPRODUCT(COMPLEX((Ported!C$10*Ported!C$14)/(2*PI()),0),C205,C205,H205)</f>
        <v>0.113958489952502+0.00972851650251101i</v>
      </c>
      <c r="O205" s="28">
        <f t="shared" si="34"/>
        <v>4.8794498427365793</v>
      </c>
      <c r="P205" s="26" t="str">
        <f>IMPRODUCT(COMPLEX((Ported!C$10*Ported!C$24)/(2*PI()),0),C205,C205,J205)</f>
        <v>0.000135292956337879+0.0000122214505097441i</v>
      </c>
      <c r="Q205" s="23">
        <f t="shared" si="35"/>
        <v>5.1617035807361438</v>
      </c>
      <c r="R205" s="41" t="str">
        <f>IMPRODUCT(COMPLEX((Ported!C$10*Ported!C$24)/(2*PI()),0),C205,C205,L205)</f>
        <v>-0.0000506899209230265+0.00056114364271573i</v>
      </c>
      <c r="S205" s="33">
        <f t="shared" si="36"/>
        <v>95.161703580662589</v>
      </c>
      <c r="T205" s="38">
        <f>IMABS(IMDIV(D205,IMSUB(COMPLEX(1,0),IMPRODUCT(COMPLEX(Ported!C$18,0),IMPRODUCT(C205,H205)))))</f>
        <v>6.0214234903367334</v>
      </c>
      <c r="U205" s="21">
        <f>20*LOG10(Ported!C$29*50000*IMABS(N205))</f>
        <v>104.97310366690922</v>
      </c>
      <c r="V205" s="22">
        <f>20*LOG10(Ported!C$29*50000*IMABS(P205))</f>
        <v>46.467432725107891</v>
      </c>
      <c r="W205" s="22">
        <f>20*LOG10(Ported!C$29*50000*IMABS(R205))</f>
        <v>58.823409930582557</v>
      </c>
      <c r="X205" s="28">
        <f>1000*Ported!C$29*IMABS(H205)</f>
        <v>2.7580014831043886E-2</v>
      </c>
      <c r="Y205" s="28">
        <f>1000*Ported!C$29*IMABS(J205)</f>
        <v>1.9009542371562423E-4</v>
      </c>
      <c r="Z205" s="28">
        <f>Ported!C$29*IMABS(IMPRODUCT(C205,J205))</f>
        <v>1.0403265575025693E-3</v>
      </c>
      <c r="AA205" s="28">
        <f>1000*Ported!C$29*IMABS(L205)</f>
        <v>7.8844340026811574E-4</v>
      </c>
      <c r="AB205" s="41" t="str">
        <f t="shared" si="37"/>
        <v>0.114043092987917+0.0103018815957365i</v>
      </c>
      <c r="AC205" s="28">
        <f>20*LOG10(Ported!C$29*50000*IMABS(AB205))</f>
        <v>104.98330873662796</v>
      </c>
      <c r="AD205" s="28">
        <f t="shared" si="38"/>
        <v>177486.54558571088</v>
      </c>
      <c r="AE205" s="23">
        <f t="shared" si="39"/>
        <v>5.1617035807361651</v>
      </c>
      <c r="AG205" s="64"/>
      <c r="AH205" s="1"/>
      <c r="AI205" s="1"/>
      <c r="AJ205" s="1"/>
      <c r="AK205" s="2"/>
      <c r="AL205" s="2"/>
      <c r="AM205" s="2"/>
      <c r="AN205" s="2"/>
      <c r="AO205" s="2"/>
      <c r="AP205" s="2"/>
      <c r="AQ205" s="3"/>
      <c r="AR205" s="3"/>
      <c r="AS205" s="2"/>
      <c r="AT205" s="8"/>
      <c r="AU205" s="8"/>
    </row>
    <row r="206" spans="2:47" x14ac:dyDescent="0.25">
      <c r="B206" s="25">
        <v>891</v>
      </c>
      <c r="C206" s="17" t="str">
        <f t="shared" si="30"/>
        <v>5598.31810869701i</v>
      </c>
      <c r="D206" s="18" t="str">
        <f>COMPLEX(Ported!C$19,2*PI()*B206*Ported!C$20)</f>
        <v>6</v>
      </c>
      <c r="E206" s="19" t="str">
        <f>IMSUB(COMPLEX(1,0),IMDIV(COMPLEX(Ported!C$41,0),IMSUM(COMPLEX(Ported!C$41,0),IMPRODUCT(C206,COMPLEX(Ported!C$42,0)))))</f>
        <v>0.999976864388997+0.00480989352760462i</v>
      </c>
      <c r="F206" s="19" t="str">
        <f>IMDIV(IMPRODUCT(C206,COMPLEX((Ported!C$42*Ported!C$14/Ported!C$24),0)),IMSUM(COMPLEX(Ported!C$41,0),IMPRODUCT(C206,COMPLEX(Ported!C$42,0))))</f>
        <v>5.80297454982214+0.0279123354969801i</v>
      </c>
      <c r="G206" s="30" t="str">
        <f>IMPRODUCT(F206,IMSUB(COMPLEX(1,0),IMDIV(IMPRODUCT(COMPLEX(Ported!C$41,0),E206),IMSUM(COMPLEX(0-(2*PI()*B206)^2*Ported!C$38,0),IMPRODUCT(C206,COMPLEX(0,0)),IMPRODUCT(COMPLEX(Ported!C$41,0),E206)))))</f>
        <v>5.80956037599407+0.0279757286294776i</v>
      </c>
      <c r="H206" s="32" t="str">
        <f>IMDIV(COMPLEX(Ported!C$18,0),IMPRODUCT(D206,IMSUM(COMPLEX(Ported!C$16-(2*PI()*B206)^2*Ported!C$15,0),IMPRODUCT(C206,IMSUM(COMPLEX(Ported!C$17,0),IMDIV(COMPLEX(Ported!C$18^2,0),D206))),IMPRODUCT(COMPLEX(Ported!C$14*Ported!C$41/Ported!C$24,0),G206))))</f>
        <v>-8.47285449885204E-07-7.07003222858863E-08i</v>
      </c>
      <c r="I206" s="27">
        <f t="shared" si="31"/>
        <v>-175.23009929208857</v>
      </c>
      <c r="J206" s="20" t="str">
        <f>IMPRODUCT(IMDIV(IMPRODUCT(COMPLEX(-Ported!C$41,0),F206),IMSUM(IMPRODUCT(COMPLEX(Ported!C$41,0),E206),COMPLEX(Calculations!C$3-(2*PI()*B206)^2*Ported!C$38,0),IMPRODUCT(COMPLEX(Calculations!C$4,0),C206))),H206)</f>
        <v>-5.57809076599792E-09-4.92513483589871E-10i</v>
      </c>
      <c r="K206" s="27">
        <f t="shared" si="32"/>
        <v>-174.9541956632327</v>
      </c>
      <c r="L206" s="40" t="str">
        <f>IMSUM(IMPRODUCT(COMPLEX(-(Ported!C$14/Ported!C$24),0),H206),IMDIV(IMPRODUCT(COMPLEX(-Ported!C$41,0),J206),IMSUM(COMPLEX(Ported!C$41,0),IMPRODUCT(COMPLEX(Ported!C$42,0),C206))),IMDIV(IMPRODUCT(COMPLEX(Ported!C$42*Ported!C$14/Ported!C$24,0),C206,H206),IMSUM(COMPLEX(Ported!C$41,0),IMPRODUCT(COMPLEX(Ported!C$42,0),C206))))</f>
        <v>2.08966435178479E-09-2.36670422500214E-08i</v>
      </c>
      <c r="M206" s="28">
        <f t="shared" si="33"/>
        <v>-84.954195663276167</v>
      </c>
      <c r="N206" s="39" t="str">
        <f>IMPRODUCT(COMPLEX((Ported!C$10*Ported!C$14)/(2*PI()),0),C206,C206,H206)</f>
        <v>0.113982854832719+0.00951110935851723i</v>
      </c>
      <c r="O206" s="28">
        <f t="shared" si="34"/>
        <v>4.7699007079114191</v>
      </c>
      <c r="P206" s="26" t="str">
        <f>IMPRODUCT(COMPLEX((Ported!C$10*Ported!C$24)/(2*PI()),0),C206,C206,J206)</f>
        <v>0.000129310754222867+0.0000114173993754554i</v>
      </c>
      <c r="Q206" s="23">
        <f t="shared" si="35"/>
        <v>5.0458043367673318</v>
      </c>
      <c r="R206" s="41" t="str">
        <f>IMPRODUCT(COMPLEX((Ported!C$10*Ported!C$24)/(2*PI()),0),C206,C206,L206)</f>
        <v>-0.0000484423944925874+0.000548647057202775i</v>
      </c>
      <c r="S206" s="33">
        <f t="shared" si="36"/>
        <v>95.045804336723833</v>
      </c>
      <c r="T206" s="38">
        <f>IMABS(IMDIV(D206,IMSUB(COMPLEX(1,0),IMPRODUCT(COMPLEX(Ported!C$18,0),IMPRODUCT(C206,H206)))))</f>
        <v>6.0204696785482934</v>
      </c>
      <c r="U206" s="21">
        <f>20*LOG10(Ported!C$29*50000*IMABS(N206))</f>
        <v>104.9735587915244</v>
      </c>
      <c r="V206" s="22">
        <f>20*LOG10(Ported!C$29*50000*IMABS(P206))</f>
        <v>46.073052641253554</v>
      </c>
      <c r="W206" s="22">
        <f>20*LOG10(Ported!C$29*50000*IMABS(R206))</f>
        <v>58.626220827312707</v>
      </c>
      <c r="X206" s="28">
        <f>1000*Ported!C$29*IMABS(H206)</f>
        <v>2.6357132119434371E-2</v>
      </c>
      <c r="Y206" s="28">
        <f>1000*Ported!C$29*IMABS(J206)</f>
        <v>1.7359354004785186E-4</v>
      </c>
      <c r="Z206" s="28">
        <f>Ported!C$29*IMABS(IMPRODUCT(C206,J206))</f>
        <v>9.718318588027077E-4</v>
      </c>
      <c r="AA206" s="28">
        <f>1000*Ported!C$29*IMABS(L206)</f>
        <v>7.3653259134588808E-4</v>
      </c>
      <c r="AB206" s="41" t="str">
        <f t="shared" si="37"/>
        <v>0.114063723192449+0.0100711738150955i</v>
      </c>
      <c r="AC206" s="28">
        <f>20*LOG10(Ported!C$29*50000*IMABS(AB206))</f>
        <v>104.98331061394208</v>
      </c>
      <c r="AD206" s="28">
        <f t="shared" si="38"/>
        <v>177486.58394655195</v>
      </c>
      <c r="AE206" s="23">
        <f t="shared" si="39"/>
        <v>5.0458043367673433</v>
      </c>
      <c r="AG206" s="64"/>
      <c r="AH206" s="1"/>
      <c r="AI206" s="1"/>
      <c r="AJ206" s="1"/>
      <c r="AK206" s="2"/>
      <c r="AL206" s="2"/>
      <c r="AM206" s="2"/>
      <c r="AN206" s="2"/>
      <c r="AO206" s="2"/>
      <c r="AP206" s="2"/>
      <c r="AQ206" s="3"/>
      <c r="AR206" s="3"/>
      <c r="AS206" s="2"/>
      <c r="AT206" s="8"/>
      <c r="AU206" s="8"/>
    </row>
    <row r="207" spans="2:47" x14ac:dyDescent="0.25">
      <c r="B207" s="25">
        <v>912</v>
      </c>
      <c r="C207" s="17" t="str">
        <f t="shared" si="30"/>
        <v>5730.26500014778i</v>
      </c>
      <c r="D207" s="18" t="str">
        <f>COMPLEX(Ported!C$19,2*PI()*B207*Ported!C$20)</f>
        <v>6</v>
      </c>
      <c r="E207" s="19" t="str">
        <f>IMSUB(COMPLEX(1,0),IMDIV(COMPLEX(Ported!C$41,0),IMSUM(COMPLEX(Ported!C$41,0),IMPRODUCT(C207,COMPLEX(Ported!C$42,0)))))</f>
        <v>0.999977917554749+0.00469914434941144i</v>
      </c>
      <c r="F207" s="19" t="str">
        <f>IMDIV(IMPRODUCT(C207,COMPLEX((Ported!C$42*Ported!C$14/Ported!C$24),0)),IMSUM(COMPLEX(Ported!C$41,0),IMPRODUCT(C207,COMPLEX(Ported!C$42,0))))</f>
        <v>5.80298066145765+0.0272696459654966i</v>
      </c>
      <c r="G207" s="30" t="str">
        <f>IMPRODUCT(F207,IMSUB(COMPLEX(1,0),IMDIV(IMPRODUCT(COMPLEX(Ported!C$41,0),E207),IMSUM(COMPLEX(0-(2*PI()*B207)^2*Ported!C$38,0),IMPRODUCT(C207,COMPLEX(0,0)),IMPRODUCT(COMPLEX(Ported!C$41,0),E207)))))</f>
        <v>5.80926638002959+0.027328755571376i</v>
      </c>
      <c r="H207" s="32" t="str">
        <f>IMDIV(COMPLEX(Ported!C$18,0),IMPRODUCT(D207,IMSUM(COMPLEX(Ported!C$16-(2*PI()*B207)^2*Ported!C$15,0),IMPRODUCT(C207,IMSUM(COMPLEX(Ported!C$17,0),IMDIV(COMPLEX(Ported!C$18^2,0),D207))),IMPRODUCT(COMPLEX(Ported!C$14*Ported!C$41/Ported!C$24,0),G207))))</f>
        <v>-8.08884396033948E-07-6.59345749599777E-08i</v>
      </c>
      <c r="I207" s="27">
        <f t="shared" si="31"/>
        <v>-175.33995325123357</v>
      </c>
      <c r="J207" s="20" t="str">
        <f>IMPRODUCT(IMDIV(IMPRODUCT(COMPLEX(-Ported!C$41,0),F207),IMSUM(IMPRODUCT(COMPLEX(Ported!C$41,0),E207),COMPLEX(Calculations!C$3-(2*PI()*B207)^2*Ported!C$38,0),IMPRODUCT(COMPLEX(Calculations!C$4,0),C207))),H207)</f>
        <v>-5.08269457380518E-09-4.38384385324244E-10i</v>
      </c>
      <c r="K207" s="27">
        <f t="shared" si="32"/>
        <v>-175.07041649730658</v>
      </c>
      <c r="L207" s="40" t="str">
        <f>IMSUM(IMPRODUCT(COMPLEX(-(Ported!C$14/Ported!C$24),0),H207),IMDIV(IMPRODUCT(COMPLEX(-Ported!C$41,0),J207),IMSUM(COMPLEX(Ported!C$41,0),IMPRODUCT(COMPLEX(Ported!C$42,0),C207))),IMDIV(IMPRODUCT(COMPLEX(Ported!C$42*Ported!C$14/Ported!C$24,0),C207,H207),IMSUM(COMPLEX(Ported!C$41,0),IMPRODUCT(COMPLEX(Ported!C$42,0),C207))))</f>
        <v>1.90384075910192E-09-2.20734164348121E-08i</v>
      </c>
      <c r="M207" s="28">
        <f t="shared" si="33"/>
        <v>-85.070416497359659</v>
      </c>
      <c r="N207" s="39" t="str">
        <f>IMPRODUCT(COMPLEX((Ported!C$10*Ported!C$14)/(2*PI()),0),C207,C207,H207)</f>
        <v>0.114006734914255+0.00929302833136962i</v>
      </c>
      <c r="O207" s="28">
        <f t="shared" si="34"/>
        <v>4.6600467487664528</v>
      </c>
      <c r="P207" s="26" t="str">
        <f>IMPRODUCT(COMPLEX((Ported!C$10*Ported!C$24)/(2*PI()),0),C207,C207,J207)</f>
        <v>0.000123446093121599+0.0000106472735805718i</v>
      </c>
      <c r="Q207" s="23">
        <f t="shared" si="35"/>
        <v>4.9295835026934087</v>
      </c>
      <c r="R207" s="41" t="str">
        <f>IMPRODUCT(COMPLEX((Ported!C$10*Ported!C$24)/(2*PI()),0),C207,C207,L207)</f>
        <v>-0.0000462395881208422+0.000536108747270969i</v>
      </c>
      <c r="S207" s="33">
        <f t="shared" si="36"/>
        <v>94.929583502640327</v>
      </c>
      <c r="T207" s="38">
        <f>IMABS(IMDIV(D207,IMSUB(COMPLEX(1,0),IMPRODUCT(COMPLEX(Ported!C$18,0),IMPRODUCT(C207,H207)))))</f>
        <v>6.0195351997571143</v>
      </c>
      <c r="U207" s="21">
        <f>20*LOG10(Ported!C$29*50000*IMABS(N207))</f>
        <v>104.97400479111349</v>
      </c>
      <c r="V207" s="22">
        <f>20*LOG10(Ported!C$29*50000*IMABS(P207))</f>
        <v>45.668369109622759</v>
      </c>
      <c r="W207" s="22">
        <f>20*LOG10(Ported!C$29*50000*IMABS(R207))</f>
        <v>58.4238799815124</v>
      </c>
      <c r="X207" s="28">
        <f>1000*Ported!C$29*IMABS(H207)</f>
        <v>2.5158583471328141E-2</v>
      </c>
      <c r="Y207" s="28">
        <f>1000*Ported!C$29*IMABS(J207)</f>
        <v>1.5814851363477695E-4</v>
      </c>
      <c r="Z207" s="28">
        <f>Ported!C$29*IMABS(IMPRODUCT(C207,J207))</f>
        <v>9.0623289250675761E-4</v>
      </c>
      <c r="AA207" s="28">
        <f>1000*Ported!C$29*IMABS(L207)</f>
        <v>6.8681640207100868E-4</v>
      </c>
      <c r="AB207" s="41" t="str">
        <f t="shared" si="37"/>
        <v>0.114083941419256+0.00983978435222116i</v>
      </c>
      <c r="AC207" s="28">
        <f>20*LOG10(Ported!C$29*50000*IMABS(AB207))</f>
        <v>104.98331245397283</v>
      </c>
      <c r="AD207" s="28">
        <f t="shared" si="38"/>
        <v>177486.62154555693</v>
      </c>
      <c r="AE207" s="23">
        <f t="shared" si="39"/>
        <v>4.9295835026934123</v>
      </c>
      <c r="AG207" s="64"/>
      <c r="AH207" s="1"/>
      <c r="AI207" s="1"/>
      <c r="AJ207" s="1"/>
      <c r="AK207" s="2"/>
      <c r="AL207" s="2"/>
      <c r="AM207" s="2"/>
      <c r="AN207" s="2"/>
      <c r="AO207" s="2"/>
      <c r="AP207" s="2"/>
      <c r="AQ207" s="3"/>
      <c r="AR207" s="3"/>
      <c r="AS207" s="2"/>
      <c r="AT207" s="8"/>
      <c r="AU207" s="8"/>
    </row>
    <row r="208" spans="2:47" x14ac:dyDescent="0.25">
      <c r="B208" s="25">
        <v>933</v>
      </c>
      <c r="C208" s="17" t="str">
        <f t="shared" si="30"/>
        <v>5862.21189159855i</v>
      </c>
      <c r="D208" s="18" t="str">
        <f>COMPLEX(Ported!C$19,2*PI()*B208*Ported!C$20)</f>
        <v>6</v>
      </c>
      <c r="E208" s="19" t="str">
        <f>IMSUB(COMPLEX(1,0),IMDIV(COMPLEX(Ported!C$41,0),IMSUM(COMPLEX(Ported!C$41,0),IMPRODUCT(C208,COMPLEX(Ported!C$42,0)))))</f>
        <v>0.999978900411843+0.00459338034180912i</v>
      </c>
      <c r="F208" s="19" t="str">
        <f>IMDIV(IMPRODUCT(C208,COMPLEX((Ported!C$42*Ported!C$14/Ported!C$24),0)),IMSUM(COMPLEX(Ported!C$41,0),IMPRODUCT(C208,COMPLEX(Ported!C$42,0))))</f>
        <v>5.80298636508429+0.0266558859213795i</v>
      </c>
      <c r="G208" s="30" t="str">
        <f>IMPRODUCT(F208,IMSUB(COMPLEX(1,0),IMDIV(IMPRODUCT(COMPLEX(Ported!C$41,0),E208),IMSUM(COMPLEX(0-(2*PI()*B208)^2*Ported!C$38,0),IMPRODUCT(C208,COMPLEX(0,0)),IMPRODUCT(COMPLEX(Ported!C$41,0),E208)))))</f>
        <v>5.8089920378713+0.0267110894818486i</v>
      </c>
      <c r="H208" s="32" t="str">
        <f>IMDIV(COMPLEX(Ported!C$18,0),IMPRODUCT(D208,IMSUM(COMPLEX(Ported!C$16-(2*PI()*B208)^2*Ported!C$15,0),IMPRODUCT(C208,IMSUM(COMPLEX(Ported!C$17,0),IMDIV(COMPLEX(Ported!C$18^2,0),D208))),IMPRODUCT(COMPLEX(Ported!C$14*Ported!C$41/Ported!C$24,0),G208))))</f>
        <v>-7.73032480623844E-07-6.15875783427385E-08i</v>
      </c>
      <c r="I208" s="27">
        <f t="shared" si="31"/>
        <v>-175.44486066326428</v>
      </c>
      <c r="J208" s="20" t="str">
        <f>IMPRODUCT(IMDIV(IMPRODUCT(COMPLEX(-Ported!C$41,0),F208),IMSUM(IMPRODUCT(COMPLEX(Ported!C$41,0),E208),COMPLEX(Calculations!C$3-(2*PI()*B208)^2*Ported!C$38,0),IMPRODUCT(COMPLEX(Calculations!C$4,0),C208))),H208)</f>
        <v>-4.64107531316236E-09-3.91239019434316E-10i</v>
      </c>
      <c r="K208" s="27">
        <f t="shared" si="32"/>
        <v>-175.18140326870895</v>
      </c>
      <c r="L208" s="40" t="str">
        <f>IMSUM(IMPRODUCT(COMPLEX(-(Ported!C$14/Ported!C$24),0),H208),IMDIV(IMPRODUCT(COMPLEX(-Ported!C$41,0),J208),IMSUM(COMPLEX(Ported!C$41,0),IMPRODUCT(COMPLEX(Ported!C$42,0),C208))),IMDIV(IMPRODUCT(COMPLEX(Ported!C$42*Ported!C$14/Ported!C$24,0),C208,H208),IMSUM(COMPLEX(Ported!C$41,0),IMPRODUCT(COMPLEX(Ported!C$42,0),C208))))</f>
        <v>1.73821907204879E-09-2.06196346056221E-08i</v>
      </c>
      <c r="M208" s="28">
        <f t="shared" si="33"/>
        <v>-85.181403268735039</v>
      </c>
      <c r="N208" s="39" t="str">
        <f>IMPRODUCT(COMPLEX((Ported!C$10*Ported!C$14)/(2*PI()),0),C208,C208,H208)</f>
        <v>0.114029022979059+0.00908470415163059i</v>
      </c>
      <c r="O208" s="28">
        <f t="shared" si="34"/>
        <v>4.5551393367357207</v>
      </c>
      <c r="P208" s="26" t="str">
        <f>IMPRODUCT(COMPLEX((Ported!C$10*Ported!C$24)/(2*PI()),0),C208,C208,J208)</f>
        <v>0.000117971082210352+9.94486997327654E-06i</v>
      </c>
      <c r="Q208" s="23">
        <f t="shared" si="35"/>
        <v>4.8185967312910609</v>
      </c>
      <c r="R208" s="41" t="str">
        <f>IMPRODUCT(COMPLEX((Ported!C$10*Ported!C$24)/(2*PI()),0),C208,C208,L208)</f>
        <v>-0.0000441836365953186+0.000524128665248871i</v>
      </c>
      <c r="S208" s="33">
        <f t="shared" si="36"/>
        <v>94.818596731264961</v>
      </c>
      <c r="T208" s="38">
        <f>IMABS(IMDIV(D208,IMSUB(COMPLEX(1,0),IMPRODUCT(COMPLEX(Ported!C$18,0),IMPRODUCT(C208,H208)))))</f>
        <v>6.0186633365130557</v>
      </c>
      <c r="U208" s="21">
        <f>20*LOG10(Ported!C$29*50000*IMABS(N208))</f>
        <v>104.97442099538743</v>
      </c>
      <c r="V208" s="22">
        <f>20*LOG10(Ported!C$29*50000*IMABS(P208))</f>
        <v>45.27289861032331</v>
      </c>
      <c r="W208" s="22">
        <f>20*LOG10(Ported!C$29*50000*IMABS(R208))</f>
        <v>58.226145590574951</v>
      </c>
      <c r="X208" s="28">
        <f>1000*Ported!C$29*IMABS(H208)</f>
        <v>2.4039940272705739E-2</v>
      </c>
      <c r="Y208" s="28">
        <f>1000*Ported!C$29*IMABS(J208)</f>
        <v>1.4438363743684698E-4</v>
      </c>
      <c r="Z208" s="28">
        <f>Ported!C$29*IMABS(IMPRODUCT(C208,J208))</f>
        <v>8.4640747633453939E-4</v>
      </c>
      <c r="AA208" s="28">
        <f>1000*Ported!C$29*IMABS(L208)</f>
        <v>6.414758748979905E-4</v>
      </c>
      <c r="AB208" s="41" t="str">
        <f t="shared" si="37"/>
        <v>0.114102810424674+0.00961877768685274i</v>
      </c>
      <c r="AC208" s="28">
        <f>20*LOG10(Ported!C$29*50000*IMABS(AB208))</f>
        <v>104.98331417139678</v>
      </c>
      <c r="AD208" s="28">
        <f t="shared" si="38"/>
        <v>177486.65663923361</v>
      </c>
      <c r="AE208" s="23">
        <f t="shared" si="39"/>
        <v>4.818596731291052</v>
      </c>
      <c r="AG208" s="64"/>
      <c r="AH208" s="1"/>
      <c r="AI208" s="1"/>
      <c r="AJ208" s="1"/>
      <c r="AK208" s="2"/>
      <c r="AL208" s="2"/>
      <c r="AM208" s="2"/>
      <c r="AN208" s="2"/>
      <c r="AO208" s="2"/>
      <c r="AP208" s="2"/>
      <c r="AQ208" s="3"/>
      <c r="AR208" s="3"/>
      <c r="AS208" s="2"/>
      <c r="AT208" s="8"/>
      <c r="AU208" s="8"/>
    </row>
    <row r="209" spans="2:47" x14ac:dyDescent="0.25">
      <c r="B209" s="25">
        <v>955</v>
      </c>
      <c r="C209" s="17" t="str">
        <f t="shared" si="30"/>
        <v>6000.4419683565i</v>
      </c>
      <c r="D209" s="18" t="str">
        <f>COMPLEX(Ported!C$19,2*PI()*B209*Ported!C$20)</f>
        <v>6</v>
      </c>
      <c r="E209" s="19" t="str">
        <f>IMSUB(COMPLEX(1,0),IMDIV(COMPLEX(Ported!C$41,0),IMSUM(COMPLEX(Ported!C$41,0),IMPRODUCT(C209,COMPLEX(Ported!C$42,0)))))</f>
        <v>0.999979861322831+0.00448756856240614i</v>
      </c>
      <c r="F209" s="19" t="str">
        <f>IMDIV(IMPRODUCT(C209,COMPLEX((Ported!C$42*Ported!C$14/Ported!C$24),0)),IMSUM(COMPLEX(Ported!C$41,0),IMPRODUCT(C209,COMPLEX(Ported!C$42,0))))</f>
        <v>5.80299194135531+0.0260418486523052i</v>
      </c>
      <c r="G209" s="30" t="str">
        <f>IMPRODUCT(F209,IMSUB(COMPLEX(1,0),IMDIV(IMPRODUCT(COMPLEX(Ported!C$41,0),E209),IMSUM(COMPLEX(0-(2*PI()*B209)^2*Ported!C$38,0),IMPRODUCT(C209,COMPLEX(0,0)),IMPRODUCT(COMPLEX(Ported!C$41,0),E209)))))</f>
        <v>5.80872384650466+0.0260933207694349i</v>
      </c>
      <c r="H209" s="32" t="str">
        <f>IMDIV(COMPLEX(Ported!C$18,0),IMPRODUCT(D209,IMSUM(COMPLEX(Ported!C$16-(2*PI()*B209)^2*Ported!C$15,0),IMPRODUCT(C209,IMSUM(COMPLEX(Ported!C$17,0),IMDIV(COMPLEX(Ported!C$18^2,0),D209))),IMPRODUCT(COMPLEX(Ported!C$14*Ported!C$41/Ported!C$24,0),G209))))</f>
        <v>-7.37967571298093E-07-5.74337766585139E-08i</v>
      </c>
      <c r="I209" s="27">
        <f t="shared" si="31"/>
        <v>-175.54981386192119</v>
      </c>
      <c r="J209" s="20" t="str">
        <f>IMPRODUCT(IMDIV(IMPRODUCT(COMPLEX(-Ported!C$41,0),F209),IMSUM(IMPRODUCT(COMPLEX(Ported!C$41,0),E209),COMPLEX(Calculations!C$3-(2*PI()*B209)^2*Ported!C$38,0),IMPRODUCT(COMPLEX(Calculations!C$4,0),C209))),H209)</f>
        <v>-4.22865170609369E-09-3.48220361682858E-10i</v>
      </c>
      <c r="K209" s="27">
        <f t="shared" si="32"/>
        <v>-175.29243769167545</v>
      </c>
      <c r="L209" s="40" t="str">
        <f>IMSUM(IMPRODUCT(COMPLEX(-(Ported!C$14/Ported!C$24),0),H209),IMDIV(IMPRODUCT(COMPLEX(-Ported!C$41,0),J209),IMSUM(COMPLEX(Ported!C$41,0),IMPRODUCT(COMPLEX(Ported!C$42,0),C209))),IMDIV(IMPRODUCT(COMPLEX(Ported!C$42*Ported!C$14/Ported!C$24,0),C209,H209),IMSUM(COMPLEX(Ported!C$41,0),IMPRODUCT(COMPLEX(Ported!C$42,0),C209))))</f>
        <v>1.58357354954961E-09-1.92302970443792E-08i</v>
      </c>
      <c r="M209" s="28">
        <f t="shared" si="33"/>
        <v>-85.292437691699718</v>
      </c>
      <c r="N209" s="39" t="str">
        <f>IMPRODUCT(COMPLEX((Ported!C$10*Ported!C$14)/(2*PI()),0),C209,C209,H209)</f>
        <v>0.114050815431463+0.008876228869637i</v>
      </c>
      <c r="O209" s="28">
        <f t="shared" si="34"/>
        <v>4.4501861380788004</v>
      </c>
      <c r="P209" s="26" t="str">
        <f>IMPRODUCT(COMPLEX((Ported!C$10*Ported!C$24)/(2*PI()),0),C209,C209,J209)</f>
        <v>0.000112616576019691+9.27373251775512E-06i</v>
      </c>
      <c r="Q209" s="23">
        <f t="shared" si="35"/>
        <v>4.7075623083245572</v>
      </c>
      <c r="R209" s="41" t="str">
        <f>IMPRODUCT(COMPLEX((Ported!C$10*Ported!C$24)/(2*PI()),0),C209,C209,L209)</f>
        <v>-0.0000421734026400503+0.000512137286184803i</v>
      </c>
      <c r="S209" s="33">
        <f t="shared" si="36"/>
        <v>94.707562308300282</v>
      </c>
      <c r="T209" s="38">
        <f>IMABS(IMDIV(D209,IMSUB(COMPLEX(1,0),IMPRODUCT(COMPLEX(Ported!C$18,0),IMPRODUCT(C209,H209)))))</f>
        <v>6.0178111559293122</v>
      </c>
      <c r="U209" s="21">
        <f>20*LOG10(Ported!C$29*50000*IMABS(N209))</f>
        <v>104.97482788698868</v>
      </c>
      <c r="V209" s="22">
        <f>20*LOG10(Ported!C$29*50000*IMABS(P209))</f>
        <v>44.868031176126138</v>
      </c>
      <c r="W209" s="22">
        <f>20*LOG10(Ported!C$29*50000*IMABS(R209))</f>
        <v>58.023712713122684</v>
      </c>
      <c r="X209" s="28">
        <f>1000*Ported!C$29*IMABS(H209)</f>
        <v>2.2946173510289256E-2</v>
      </c>
      <c r="Y209" s="28">
        <f>1000*Ported!C$29*IMABS(J209)</f>
        <v>1.3153191748599186E-4</v>
      </c>
      <c r="Z209" s="28">
        <f>Ported!C$29*IMABS(IMPRODUCT(C209,J209))</f>
        <v>7.8924963786135001E-4</v>
      </c>
      <c r="AA209" s="28">
        <f>1000*Ported!C$29*IMABS(L209)</f>
        <v>5.9815705332915596E-4</v>
      </c>
      <c r="AB209" s="41" t="str">
        <f t="shared" si="37"/>
        <v>0.114121258604843+0.00939763988833956i</v>
      </c>
      <c r="AC209" s="28">
        <f>20*LOG10(Ported!C$29*50000*IMABS(AB209))</f>
        <v>104.98331585068951</v>
      </c>
      <c r="AD209" s="28">
        <f t="shared" si="38"/>
        <v>177486.69095374763</v>
      </c>
      <c r="AE209" s="23">
        <f t="shared" si="39"/>
        <v>4.7075623083245519</v>
      </c>
      <c r="AG209" s="64"/>
      <c r="AH209" s="1"/>
      <c r="AI209" s="1"/>
      <c r="AJ209" s="1"/>
      <c r="AK209" s="2"/>
      <c r="AL209" s="2"/>
      <c r="AM209" s="2"/>
      <c r="AN209" s="2"/>
      <c r="AO209" s="2"/>
      <c r="AP209" s="2"/>
      <c r="AQ209" s="3"/>
      <c r="AR209" s="3"/>
      <c r="AS209" s="2"/>
      <c r="AT209" s="8"/>
      <c r="AU209" s="8"/>
    </row>
    <row r="210" spans="2:47" x14ac:dyDescent="0.25">
      <c r="B210" s="25">
        <v>977</v>
      </c>
      <c r="C210" s="17" t="str">
        <f t="shared" si="30"/>
        <v>6138.67204511446i</v>
      </c>
      <c r="D210" s="18" t="str">
        <f>COMPLEX(Ported!C$19,2*PI()*B210*Ported!C$20)</f>
        <v>6</v>
      </c>
      <c r="E210" s="19" t="str">
        <f>IMSUB(COMPLEX(1,0),IMDIV(COMPLEX(Ported!C$41,0),IMSUM(COMPLEX(Ported!C$41,0),IMPRODUCT(C210,COMPLEX(Ported!C$42,0)))))</f>
        <v>0.999980758056051+0.00438652182214968i</v>
      </c>
      <c r="F210" s="19" t="str">
        <f>IMDIV(IMPRODUCT(C210,COMPLEX((Ported!C$42*Ported!C$14/Ported!C$24),0)),IMSUM(COMPLEX(Ported!C$41,0),IMPRODUCT(C210,COMPLEX(Ported!C$42,0))))</f>
        <v>5.80299714519576+0.0254554634238739i</v>
      </c>
      <c r="G210" s="30" t="str">
        <f>IMPRODUCT(F210,IMSUB(COMPLEX(1,0),IMDIV(IMPRODUCT(COMPLEX(Ported!C$41,0),E210),IMSUM(COMPLEX(0-(2*PI()*B210)^2*Ported!C$38,0),IMPRODUCT(C210,COMPLEX(0,0)),IMPRODUCT(COMPLEX(Ported!C$41,0),E210)))))</f>
        <v>5.80847358955342+0.0255035330316104i</v>
      </c>
      <c r="H210" s="32" t="str">
        <f>IMDIV(COMPLEX(Ported!C$18,0),IMPRODUCT(D210,IMSUM(COMPLEX(Ported!C$16-(2*PI()*B210)^2*Ported!C$15,0),IMPRODUCT(C210,IMSUM(COMPLEX(Ported!C$17,0),IMDIV(COMPLEX(Ported!C$18^2,0),D210))),IMPRODUCT(COMPLEX(Ported!C$14*Ported!C$41/Ported!C$24,0),G210))))</f>
        <v>-7.05232527255666E-07-5.36451661061673E-08i</v>
      </c>
      <c r="I210" s="27">
        <f t="shared" si="31"/>
        <v>-175.65003922771436</v>
      </c>
      <c r="J210" s="20" t="str">
        <f>IMPRODUCT(IMDIV(IMPRODUCT(COMPLEX(-Ported!C$41,0),F210),IMSUM(IMPRODUCT(COMPLEX(Ported!C$41,0),E210),COMPLEX(Calculations!C$3-(2*PI()*B210)^2*Ported!C$38,0),IMPRODUCT(COMPLEX(Calculations!C$4,0),C210))),H210)</f>
        <v>-3.86102541778562E-09-3.10754525456889E-10i</v>
      </c>
      <c r="K210" s="27">
        <f t="shared" si="32"/>
        <v>-175.39846962122706</v>
      </c>
      <c r="L210" s="40" t="str">
        <f>IMSUM(IMPRODUCT(COMPLEX(-(Ported!C$14/Ported!C$24),0),H210),IMDIV(IMPRODUCT(COMPLEX(-Ported!C$41,0),J210),IMSUM(COMPLEX(Ported!C$41,0),IMPRODUCT(COMPLEX(Ported!C$42,0),C210))),IMDIV(IMPRODUCT(COMPLEX(Ported!C$42*Ported!C$14/Ported!C$24,0),C210,H210),IMSUM(COMPLEX(Ported!C$41,0),IMPRODUCT(COMPLEX(Ported!C$42,0),C210))))</f>
        <v>1.44574843509206E-09-1.79629611103658E-08i</v>
      </c>
      <c r="M210" s="28">
        <f t="shared" si="33"/>
        <v>-85.398469621258286</v>
      </c>
      <c r="N210" s="39" t="str">
        <f>IMPRODUCT(COMPLEX((Ported!C$10*Ported!C$14)/(2*PI()),0),C210,C210,H210)</f>
        <v>0.114071154232551+0.0086770898678486i</v>
      </c>
      <c r="O210" s="28">
        <f t="shared" si="34"/>
        <v>4.3499607722856215</v>
      </c>
      <c r="P210" s="26" t="str">
        <f>IMPRODUCT(COMPLEX((Ported!C$10*Ported!C$24)/(2*PI()),0),C210,C210,J210)</f>
        <v>0.000107618131658354+8.66164239168071E-06i</v>
      </c>
      <c r="Q210" s="23">
        <f t="shared" si="35"/>
        <v>4.6015303787729218</v>
      </c>
      <c r="R210" s="41" t="str">
        <f>IMPRODUCT(COMPLEX((Ported!C$10*Ported!C$24)/(2*PI()),0),C210,C210,L210)</f>
        <v>-0.0000402972600791189+0.000500680545858185i</v>
      </c>
      <c r="S210" s="33">
        <f t="shared" si="36"/>
        <v>94.601530378741714</v>
      </c>
      <c r="T210" s="38">
        <f>IMABS(IMDIV(D210,IMSUB(COMPLEX(1,0),IMPRODUCT(COMPLEX(Ported!C$18,0),IMPRODUCT(C210,H210)))))</f>
        <v>6.0170160827922974</v>
      </c>
      <c r="U210" s="21">
        <f>20*LOG10(Ported!C$29*50000*IMABS(N210))</f>
        <v>104.97520758571888</v>
      </c>
      <c r="V210" s="22">
        <f>20*LOG10(Ported!C$29*50000*IMABS(P210))</f>
        <v>44.47238505805398</v>
      </c>
      <c r="W210" s="22">
        <f>20*LOG10(Ported!C$29*50000*IMABS(R210))</f>
        <v>57.825890437751255</v>
      </c>
      <c r="X210" s="28">
        <f>1000*Ported!C$29*IMABS(H210)</f>
        <v>2.1925367116960186E-2</v>
      </c>
      <c r="Y210" s="28">
        <f>1000*Ported!C$29*IMABS(J210)</f>
        <v>1.2007883373623886E-4</v>
      </c>
      <c r="Z210" s="28">
        <f>Ported!C$29*IMABS(IMPRODUCT(C210,J210))</f>
        <v>7.3712457986659769E-4</v>
      </c>
      <c r="AA210" s="28">
        <f>1000*Ported!C$29*IMABS(L210)</f>
        <v>5.5865247885861214E-4</v>
      </c>
      <c r="AB210" s="41" t="str">
        <f t="shared" si="37"/>
        <v>0.11413847510413+0.00918643205609846i</v>
      </c>
      <c r="AC210" s="28">
        <f>20*LOG10(Ported!C$29*50000*IMABS(AB210))</f>
        <v>104.9833174180184</v>
      </c>
      <c r="AD210" s="28">
        <f t="shared" si="38"/>
        <v>177486.72298040887</v>
      </c>
      <c r="AE210" s="23">
        <f t="shared" si="39"/>
        <v>4.6015303787729325</v>
      </c>
      <c r="AG210" s="64"/>
      <c r="AH210" s="1"/>
      <c r="AI210" s="1"/>
      <c r="AJ210" s="1"/>
      <c r="AK210" s="2"/>
      <c r="AL210" s="2"/>
      <c r="AM210" s="2"/>
      <c r="AN210" s="2"/>
      <c r="AO210" s="2"/>
      <c r="AP210" s="2"/>
      <c r="AQ210" s="3"/>
      <c r="AR210" s="3"/>
      <c r="AS210" s="2"/>
      <c r="AT210" s="8"/>
      <c r="AU210" s="8"/>
    </row>
    <row r="211" spans="2:47" x14ac:dyDescent="0.25">
      <c r="B211" s="46">
        <v>1000</v>
      </c>
      <c r="C211" s="47" t="str">
        <f t="shared" si="30"/>
        <v>6283.18530717959i</v>
      </c>
      <c r="D211" s="48" t="str">
        <f>COMPLEX(Ported!C$19,2*PI()*B211*Ported!C$20)</f>
        <v>6</v>
      </c>
      <c r="E211" s="49" t="str">
        <f>IMSUB(COMPLEX(1,0),IMDIV(COMPLEX(Ported!C$41,0),IMSUM(COMPLEX(Ported!C$41,0),IMPRODUCT(C211,COMPLEX(Ported!C$42,0)))))</f>
        <v>0.999981632990414+0.00428563556995893i</v>
      </c>
      <c r="F211" s="49" t="str">
        <f>IMDIV(IMPRODUCT(C211,COMPLEX((Ported!C$42*Ported!C$14/Ported!C$24),0)),IMSUM(COMPLEX(Ported!C$41,0),IMPRODUCT(C211,COMPLEX(Ported!C$42,0))))</f>
        <v>5.80300222253506+0.0248700095251503i</v>
      </c>
      <c r="G211" s="50" t="str">
        <f>IMPRODUCT(F211,IMSUB(COMPLEX(1,0),IMDIV(IMPRODUCT(COMPLEX(Ported!C$41,0),E211),IMSUM(COMPLEX(0-(2*PI()*B211)^2*Ported!C$38,0),IMPRODUCT(C211,COMPLEX(0,0)),IMPRODUCT(COMPLEX(Ported!C$41,0),E211)))))</f>
        <v>5.80822943691817+0.0249148352242083i</v>
      </c>
      <c r="H211" s="51" t="str">
        <f>IMDIV(COMPLEX(Ported!C$18,0),IMPRODUCT(D211,IMSUM(COMPLEX(Ported!C$16-(2*PI()*B211)^2*Ported!C$15,0),IMPRODUCT(C211,IMSUM(COMPLEX(Ported!C$17,0),IMDIV(COMPLEX(Ported!C$18^2,0),D211))),IMPRODUCT(COMPLEX(Ported!C$14*Ported!C$41/Ported!C$24,0),G211))))</f>
        <v>-6.7328201616555E-07-5.00322674459468E-08i</v>
      </c>
      <c r="I211" s="52">
        <f t="shared" si="31"/>
        <v>-175.75010402120944</v>
      </c>
      <c r="J211" s="53" t="str">
        <f>IMPRODUCT(IMDIV(IMPRODUCT(COMPLEX(-Ported!C$41,0),F211),IMSUM(IMPRODUCT(COMPLEX(Ported!C$41,0),E211),COMPLEX(Calculations!C$3-(2*PI()*B211)^2*Ported!C$38,0),IMPRODUCT(COMPLEX(Calculations!C$4,0),C211))),H211)</f>
        <v>-3.51839689194694E-09-2.76636239160748E-10i</v>
      </c>
      <c r="K211" s="52">
        <f t="shared" si="32"/>
        <v>-175.50433099079262</v>
      </c>
      <c r="L211" s="54" t="str">
        <f>IMSUM(IMPRODUCT(COMPLEX(-(Ported!C$14/Ported!C$24),0),H211),IMDIV(IMPRODUCT(COMPLEX(-Ported!C$41,0),J211),IMSUM(COMPLEX(Ported!C$41,0),IMPRODUCT(COMPLEX(Ported!C$42,0),C211))),IMDIV(IMPRODUCT(COMPLEX(Ported!C$42*Ported!C$14/Ported!C$24,0),C211,H211),IMSUM(COMPLEX(Ported!C$41,0),IMPRODUCT(COMPLEX(Ported!C$42,0),C211))))</f>
        <v>1.31731542455548E-09-1.67542709140339E-08i</v>
      </c>
      <c r="M211" s="55">
        <f t="shared" si="33"/>
        <v>-85.50433099085916</v>
      </c>
      <c r="N211" s="56" t="str">
        <f>IMPRODUCT(COMPLEX((Ported!C$10*Ported!C$14)/(2*PI()),0),C211,C211,H211)</f>
        <v>0.114091000319695+0.00847821760289971i</v>
      </c>
      <c r="O211" s="55">
        <f t="shared" si="34"/>
        <v>4.2498959787905672</v>
      </c>
      <c r="P211" s="57" t="str">
        <f>IMPRODUCT(COMPLEX((Ported!C$10*Ported!C$24)/(2*PI()),0),C211,C211,J211)</f>
        <v>0.000102739746148309+8.07797922168776E-06i</v>
      </c>
      <c r="Q211" s="58">
        <f t="shared" si="35"/>
        <v>4.4956690092073819</v>
      </c>
      <c r="R211" s="59" t="str">
        <f>IMPRODUCT(COMPLEX((Ported!C$10*Ported!C$24)/(2*PI()),0),C211,C211,L211)</f>
        <v>-0.0000384665677217529+0.000489236886420544i</v>
      </c>
      <c r="S211" s="60">
        <f t="shared" si="36"/>
        <v>94.49566900914084</v>
      </c>
      <c r="T211" s="61">
        <f>IMABS(IMDIV(D211,IMSUB(COMPLEX(1,0),IMPRODUCT(COMPLEX(Ported!C$18,0),IMPRODUCT(C211,H211)))))</f>
        <v>6.0162405154812557</v>
      </c>
      <c r="U211" s="62">
        <f>20*LOG10(Ported!C$29*50000*IMABS(N211))</f>
        <v>104.97557803827134</v>
      </c>
      <c r="V211" s="63">
        <f>20*LOG10(Ported!C$29*50000*IMABS(P211))</f>
        <v>44.068169136213328</v>
      </c>
      <c r="W211" s="63">
        <f>20*LOG10(Ported!C$29*50000*IMABS(R211))</f>
        <v>57.623783241534589</v>
      </c>
      <c r="X211" s="55">
        <f>1000*Ported!C$29*IMABS(H211)</f>
        <v>2.0929291362482848E-2</v>
      </c>
      <c r="Y211" s="55">
        <f>1000*Ported!C$29*IMABS(J211)</f>
        <v>1.0940692012141561E-4</v>
      </c>
      <c r="Z211" s="55">
        <f>Ported!C$29*IMABS(IMPRODUCT(C211,J211))</f>
        <v>6.8742395301065113E-4</v>
      </c>
      <c r="AA211" s="55">
        <f>1000*Ported!C$29*IMABS(L211)</f>
        <v>5.2098533391148187E-4</v>
      </c>
      <c r="AB211" s="59" t="str">
        <f t="shared" si="37"/>
        <v>0.114155273498122+0.00897553246854194i</v>
      </c>
      <c r="AC211" s="55">
        <f>20*LOG10(Ported!C$29*50000*IMABS(AB211))</f>
        <v>104.98331894742689</v>
      </c>
      <c r="AD211" s="55">
        <f t="shared" si="38"/>
        <v>177486.75423221334</v>
      </c>
      <c r="AE211" s="58">
        <f t="shared" si="39"/>
        <v>4.4956690092073384</v>
      </c>
      <c r="AG211" s="64"/>
      <c r="AH211" s="1"/>
      <c r="AI211" s="1"/>
      <c r="AJ211" s="1"/>
      <c r="AK211" s="2"/>
      <c r="AL211" s="2"/>
      <c r="AM211" s="2"/>
      <c r="AN211" s="2"/>
      <c r="AO211" s="2"/>
      <c r="AP211" s="2"/>
      <c r="AQ211" s="3"/>
      <c r="AR211" s="3"/>
      <c r="AS211" s="2"/>
      <c r="AT211" s="8"/>
      <c r="AU211" s="8"/>
    </row>
    <row r="212" spans="2:47" x14ac:dyDescent="0.25">
      <c r="B212" s="2"/>
      <c r="H212" s="8"/>
      <c r="I212" s="8"/>
      <c r="O212" s="5"/>
      <c r="P212" s="5"/>
      <c r="Q212" s="8"/>
      <c r="U212" s="2"/>
      <c r="V212" s="2"/>
      <c r="W212" s="2"/>
      <c r="X212" s="2"/>
      <c r="Y212" s="2"/>
      <c r="Z212" s="3"/>
      <c r="AA212" s="3"/>
      <c r="AB212" s="2"/>
      <c r="AC212" s="8"/>
      <c r="AD212" s="8"/>
    </row>
  </sheetData>
  <mergeCells count="4">
    <mergeCell ref="B9:C9"/>
    <mergeCell ref="D9:G9"/>
    <mergeCell ref="H9:S9"/>
    <mergeCell ref="T9:AE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Ported</vt:lpstr>
      <vt:lpstr>T-S to E-M Conversion</vt:lpstr>
      <vt:lpstr>Calculations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2022-12-23T00:45:48Z</dcterms:created>
  <dcterms:modified xsi:type="dcterms:W3CDTF">2023-08-01T04:04:46Z</dcterms:modified>
</cp:coreProperties>
</file>